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comments3.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383" documentId="13_ncr:1_{77B5033F-4055-47EE-9196-9576F203AC05}" xr6:coauthVersionLast="47" xr6:coauthVersionMax="47" xr10:uidLastSave="{71AE9BEA-3DA4-4886-86FC-14CD1F095489}"/>
  <bookViews>
    <workbookView xWindow="-120" yWindow="-120" windowWidth="29040" windowHeight="15720" activeTab="5" xr2:uid="{00000000-000D-0000-FFFF-FFFF00000000}"/>
  </bookViews>
  <sheets>
    <sheet name="幼稚園" sheetId="9" r:id="rId1"/>
    <sheet name="保育所" sheetId="5" r:id="rId2"/>
    <sheet name="認定こども園" sheetId="6" r:id="rId3"/>
    <sheet name="小規模（事業所内）Ａ・Ｂ" sheetId="7" r:id="rId4"/>
    <sheet name="事業所内（定員20以上）" sheetId="10" r:id="rId5"/>
    <sheet name="小規模Ｃ" sheetId="8" r:id="rId6"/>
    <sheet name="満三歳以上小規模" sheetId="11" r:id="rId7"/>
  </sheets>
  <definedNames>
    <definedName name="_xlnm.Print_Area" localSheetId="4">'事業所内（定員20以上）'!$A$1:$I$35</definedName>
    <definedName name="_xlnm.Print_Area" localSheetId="3">'小規模（事業所内）Ａ・Ｂ'!$A$1:$I$33</definedName>
    <definedName name="_xlnm.Print_Area" localSheetId="5">小規模Ｃ!$A$1:$I$29</definedName>
    <definedName name="_xlnm.Print_Area" localSheetId="2">認定こども園!$A$1:$L$60</definedName>
    <definedName name="_xlnm.Print_Area" localSheetId="1">保育所!$A$1:$L$46</definedName>
    <definedName name="_xlnm.Print_Area" localSheetId="6">満三歳以上小規模!$A$1:$I$29</definedName>
    <definedName name="_xlnm.Print_Area" localSheetId="0">幼稚園!$A$1:$G$44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1" l="1"/>
  <c r="H34" i="6" l="1"/>
  <c r="H35" i="5"/>
  <c r="G32" i="9" l="1"/>
  <c r="H13" i="11" l="1"/>
  <c r="H9" i="11"/>
  <c r="H10" i="11"/>
  <c r="H11" i="11"/>
  <c r="G10" i="11"/>
  <c r="H17" i="11"/>
  <c r="H16" i="11"/>
  <c r="H15" i="11"/>
  <c r="H14" i="11"/>
  <c r="G11" i="11"/>
  <c r="G9" i="11"/>
  <c r="K24" i="6"/>
  <c r="H28" i="8"/>
  <c r="H27" i="8"/>
  <c r="H33" i="10"/>
  <c r="H34" i="10"/>
  <c r="H20" i="11" l="1"/>
  <c r="G24" i="11" s="1"/>
  <c r="H24" i="11" s="1"/>
  <c r="H28" i="11" s="1"/>
  <c r="G23" i="11" l="1"/>
  <c r="G31" i="9"/>
  <c r="H24" i="8"/>
  <c r="H23" i="8"/>
  <c r="G24" i="8"/>
  <c r="G23" i="8"/>
  <c r="H20" i="8"/>
  <c r="H14" i="8"/>
  <c r="H19" i="8" s="1"/>
  <c r="G9" i="8"/>
  <c r="H30" i="10"/>
  <c r="H29" i="10"/>
  <c r="G30" i="10"/>
  <c r="G29" i="10"/>
  <c r="H26" i="10"/>
  <c r="H25" i="10"/>
  <c r="H23" i="10"/>
  <c r="H20" i="10"/>
  <c r="H19" i="10"/>
  <c r="G18" i="10"/>
  <c r="G17" i="10"/>
  <c r="H15" i="10"/>
  <c r="G15" i="10"/>
  <c r="G14" i="10"/>
  <c r="G13" i="10"/>
  <c r="H24" i="7"/>
  <c r="G28" i="7" s="1"/>
  <c r="H28" i="7" s="1"/>
  <c r="H32" i="7" s="1"/>
  <c r="H23" i="7"/>
  <c r="H17" i="7"/>
  <c r="H15" i="7"/>
  <c r="H14" i="7"/>
  <c r="G12" i="7"/>
  <c r="H50" i="6"/>
  <c r="H33" i="6"/>
  <c r="G26" i="6"/>
  <c r="J29" i="6"/>
  <c r="K29" i="6" s="1"/>
  <c r="L29" i="5"/>
  <c r="H30" i="5"/>
  <c r="H23" i="11" l="1"/>
  <c r="H27" i="11" s="1"/>
  <c r="H29" i="11" s="1"/>
  <c r="G27" i="7"/>
  <c r="H27" i="7" s="1"/>
  <c r="H31" i="7" s="1"/>
  <c r="J21" i="5"/>
  <c r="I30" i="6" l="1"/>
  <c r="I26" i="5"/>
  <c r="J24" i="6" l="1"/>
  <c r="F24" i="6"/>
  <c r="F21" i="5"/>
  <c r="G21" i="5" s="1"/>
  <c r="H21" i="5" s="1"/>
  <c r="G19" i="9" l="1"/>
  <c r="G18" i="9"/>
  <c r="I25" i="6"/>
  <c r="G17" i="9" l="1"/>
  <c r="G24" i="6"/>
  <c r="H37" i="6"/>
  <c r="H38" i="6"/>
  <c r="I18" i="5"/>
  <c r="H33" i="5"/>
  <c r="H40" i="6" l="1"/>
  <c r="H39" i="6"/>
  <c r="J26" i="6"/>
  <c r="I24" i="5"/>
  <c r="J23" i="5"/>
  <c r="K23" i="5" s="1"/>
  <c r="I22" i="5"/>
  <c r="K21" i="5" s="1"/>
  <c r="F23" i="5"/>
  <c r="G23" i="5" s="1"/>
  <c r="F8" i="9"/>
  <c r="H31" i="5" l="1"/>
  <c r="H32" i="5"/>
  <c r="G22" i="9"/>
  <c r="G24" i="9" l="1"/>
  <c r="G15" i="7" l="1"/>
  <c r="L34" i="6"/>
  <c r="L35" i="5" l="1"/>
  <c r="G23" i="9" l="1"/>
  <c r="G21" i="9"/>
  <c r="H22" i="10" l="1"/>
  <c r="H16" i="8"/>
  <c r="H20" i="7"/>
  <c r="H45" i="6"/>
  <c r="H34" i="5"/>
  <c r="I34" i="5"/>
  <c r="G30" i="9"/>
  <c r="G29" i="9"/>
  <c r="I37" i="6" l="1"/>
  <c r="I28" i="6" l="1"/>
  <c r="I27" i="6"/>
  <c r="K26" i="6" s="1"/>
  <c r="F8" i="6" l="1"/>
  <c r="L33" i="6"/>
  <c r="L26" i="6" l="1"/>
  <c r="H14" i="10" l="1"/>
  <c r="H13" i="10"/>
  <c r="G14" i="7"/>
  <c r="H12" i="7"/>
  <c r="G11" i="7"/>
  <c r="H11" i="7" s="1"/>
  <c r="G10" i="7"/>
  <c r="H10" i="7" s="1"/>
  <c r="J27" i="5"/>
  <c r="J25" i="5"/>
  <c r="K25" i="5" s="1"/>
  <c r="L35" i="6" l="1"/>
  <c r="J8" i="6"/>
  <c r="J11" i="6"/>
  <c r="K49" i="6"/>
  <c r="L49" i="6" s="1"/>
  <c r="I36" i="6"/>
  <c r="H35" i="6"/>
  <c r="J31" i="6"/>
  <c r="K31" i="6" l="1"/>
  <c r="L31" i="6" s="1"/>
  <c r="L29" i="6"/>
  <c r="L24" i="6"/>
  <c r="G49" i="6"/>
  <c r="H49" i="6" s="1"/>
  <c r="L32" i="6" l="1"/>
  <c r="I48" i="6"/>
  <c r="I47" i="6"/>
  <c r="I46" i="6"/>
  <c r="I44" i="6"/>
  <c r="I43" i="6"/>
  <c r="I42" i="6"/>
  <c r="I41" i="6"/>
  <c r="I40" i="6"/>
  <c r="I39" i="6"/>
  <c r="I38" i="6"/>
  <c r="L50" i="6" l="1"/>
  <c r="L51" i="6" s="1"/>
  <c r="J7" i="6"/>
  <c r="K27" i="5"/>
  <c r="L27" i="5" s="1"/>
  <c r="L25" i="5"/>
  <c r="L21" i="5"/>
  <c r="I33" i="5"/>
  <c r="I32" i="5"/>
  <c r="I31" i="5"/>
  <c r="I30" i="5"/>
  <c r="J9" i="5"/>
  <c r="J7" i="5"/>
  <c r="L23" i="5" l="1"/>
  <c r="L28" i="5" s="1"/>
  <c r="L36" i="5" s="1"/>
  <c r="L37" i="5" s="1"/>
  <c r="G26" i="9" l="1"/>
  <c r="H24" i="10" l="1"/>
  <c r="F9" i="5" l="1"/>
  <c r="H48" i="6" l="1"/>
  <c r="H47" i="6"/>
  <c r="F26" i="6" l="1"/>
  <c r="H21" i="10" l="1"/>
  <c r="H17" i="10"/>
  <c r="H18" i="10"/>
  <c r="H35" i="10" l="1"/>
  <c r="F31" i="6"/>
  <c r="F29" i="6"/>
  <c r="G29" i="6" s="1"/>
  <c r="F11" i="6"/>
  <c r="F25" i="5" l="1"/>
  <c r="G25" i="5" s="1"/>
  <c r="H25" i="5" s="1"/>
  <c r="F27" i="5"/>
  <c r="H23" i="5" l="1"/>
  <c r="G28" i="9" l="1"/>
  <c r="G27" i="9"/>
  <c r="G25" i="9"/>
  <c r="G33" i="9" l="1"/>
  <c r="G34" i="9" s="1"/>
  <c r="G13" i="8"/>
  <c r="H13" i="8" s="1"/>
  <c r="G12" i="8"/>
  <c r="H12" i="8" s="1"/>
  <c r="H9" i="8"/>
  <c r="H17" i="8"/>
  <c r="H15" i="8"/>
  <c r="H18" i="7"/>
  <c r="H21" i="7"/>
  <c r="H19" i="7"/>
  <c r="H46" i="6"/>
  <c r="H44" i="6"/>
  <c r="H43" i="6"/>
  <c r="H42" i="6"/>
  <c r="H36" i="6"/>
  <c r="H41" i="6"/>
  <c r="G31" i="6"/>
  <c r="H31" i="6" s="1"/>
  <c r="H29" i="6"/>
  <c r="H26" i="6"/>
  <c r="H24" i="6"/>
  <c r="H29" i="5"/>
  <c r="G27" i="5"/>
  <c r="H27" i="5" s="1"/>
  <c r="H28" i="5" s="1"/>
  <c r="H36" i="5" s="1"/>
  <c r="H37" i="5" s="1"/>
  <c r="G41" i="5" l="1"/>
  <c r="G40" i="5"/>
  <c r="H40" i="5" s="1"/>
  <c r="H44" i="5" s="1"/>
  <c r="F38" i="9"/>
  <c r="F42" i="9" s="1"/>
  <c r="F39" i="9"/>
  <c r="F43" i="9" s="1"/>
  <c r="F44" i="9" s="1"/>
  <c r="H32" i="6"/>
  <c r="H51" i="6" s="1"/>
  <c r="G54" i="6" l="1"/>
  <c r="H54" i="6" s="1"/>
  <c r="H58" i="6" s="1"/>
  <c r="G55" i="6"/>
  <c r="H55" i="6" s="1"/>
  <c r="H59" i="6" s="1"/>
  <c r="H60" i="6" l="1"/>
  <c r="H41" i="5"/>
  <c r="H45" i="5" l="1"/>
  <c r="H46" i="5" s="1"/>
  <c r="H29" i="8"/>
  <c r="H33"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2" authorId="0" shapeId="0" xr:uid="{00000000-0006-0000-0000-000001000000}">
      <text>
        <r>
          <rPr>
            <sz val="12"/>
            <color indexed="81"/>
            <rFont val="MS P ゴシック"/>
            <family val="3"/>
            <charset val="128"/>
          </rPr>
          <t>加算算定上の「加配人数」を入力</t>
        </r>
      </text>
    </comment>
    <comment ref="C29" authorId="0" shapeId="0" xr:uid="{00000000-0006-0000-0000-000002000000}">
      <text>
        <r>
          <rPr>
            <sz val="11"/>
            <color indexed="81"/>
            <rFont val="MS P ゴシック"/>
            <family val="3"/>
            <charset val="128"/>
          </rPr>
          <t>A:配置を受けていること</t>
        </r>
      </text>
    </comment>
    <comment ref="F31" authorId="0" shapeId="0" xr:uid="{00000000-0006-0000-0000-000003000000}">
      <text>
        <r>
          <rPr>
            <sz val="12"/>
            <color indexed="81"/>
            <rFont val="MS P ゴシック"/>
            <family val="3"/>
            <charset val="128"/>
          </rPr>
          <t>「必要教員数－配置教員数」
の値を入力</t>
        </r>
      </text>
    </comment>
    <comment ref="G37" authorId="0" shapeId="0" xr:uid="{95509894-C640-4D57-AC6F-332C150E0F7A}">
      <text>
        <r>
          <rPr>
            <sz val="12"/>
            <color indexed="81"/>
            <rFont val="MS P ゴシック"/>
            <family val="3"/>
            <charset val="128"/>
          </rPr>
          <t>研修修了者の実人数を入力
（実人数を入力しなければ加算見込額が算出されません。）</t>
        </r>
      </text>
    </comment>
    <comment ref="F42" authorId="0" shapeId="0" xr:uid="{8D4303C0-38F0-4771-B63E-04C4BCBAAD11}">
      <text>
        <r>
          <rPr>
            <sz val="12"/>
            <color indexed="81"/>
            <rFont val="MS P ゴシック"/>
            <family val="3"/>
            <charset val="128"/>
          </rPr>
          <t>研修修了者の実人数が算定人数に達していない場合は、実人数が人数Aとなります。</t>
        </r>
      </text>
    </comment>
    <comment ref="F43" authorId="0" shapeId="0" xr:uid="{4ABD5EED-C767-4895-B320-7DA815381DAC}">
      <text>
        <r>
          <rPr>
            <sz val="12"/>
            <color indexed="81"/>
            <rFont val="MS P ゴシック"/>
            <family val="3"/>
            <charset val="128"/>
          </rPr>
          <t>研修修了者の実人数が算定人数に達していない場合は、実人数が人数Bとなります。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3" authorId="0" shapeId="0" xr:uid="{A5173801-96A6-4B8A-B4F4-1B4682CCE5FA}">
      <text>
        <r>
          <rPr>
            <sz val="12"/>
            <color indexed="81"/>
            <rFont val="ＭＳ Ｐゴシック"/>
            <family val="3"/>
            <charset val="128"/>
          </rPr>
          <t>加算算定上の「加配人数」を入力</t>
        </r>
        <r>
          <rPr>
            <sz val="10"/>
            <color indexed="81"/>
            <rFont val="ＭＳ Ｐゴシック"/>
            <family val="3"/>
            <charset val="128"/>
          </rPr>
          <t xml:space="preserve">
</t>
        </r>
      </text>
    </comment>
    <comment ref="C34" authorId="0" shapeId="0" xr:uid="{00000000-0006-0000-0100-000001000000}">
      <text>
        <r>
          <rPr>
            <sz val="12"/>
            <color indexed="81"/>
            <rFont val="MS P ゴシック"/>
            <family val="3"/>
            <charset val="128"/>
          </rPr>
          <t>A：配置であること</t>
        </r>
      </text>
    </comment>
    <comment ref="I39" authorId="0" shapeId="0" xr:uid="{6E4DC130-073F-4C23-A586-698A2EAA2990}">
      <text>
        <r>
          <rPr>
            <sz val="12"/>
            <color indexed="81"/>
            <rFont val="MS P ゴシック"/>
            <family val="3"/>
            <charset val="128"/>
          </rPr>
          <t>研修修了者の実人数を入力
（実人数を入力しなければ加算見込額が算出されません。）</t>
        </r>
      </text>
    </comment>
    <comment ref="H44" authorId="0" shapeId="0" xr:uid="{913D507E-F70B-4C52-AC66-D1C57997606B}">
      <text>
        <r>
          <rPr>
            <sz val="11"/>
            <color indexed="81"/>
            <rFont val="MS P ゴシック"/>
            <family val="3"/>
            <charset val="128"/>
          </rPr>
          <t>研修修了者の実人数が算定人数に達していない場合は、実人数が人数Aとなります。</t>
        </r>
      </text>
    </comment>
    <comment ref="H45" authorId="0" shapeId="0" xr:uid="{43B83D45-5E91-48B5-B9C2-09B55060EB1D}">
      <text>
        <r>
          <rPr>
            <sz val="12"/>
            <color indexed="81"/>
            <rFont val="MS P ゴシック"/>
            <family val="3"/>
            <charset val="128"/>
          </rPr>
          <t>研修修了者の実人数が算定人数に達していない場合は、実人数が人数Bとなります。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8" authorId="0" shapeId="0" xr:uid="{00000000-0006-0000-0200-000001000000}">
      <text>
        <r>
          <rPr>
            <sz val="12"/>
            <color indexed="81"/>
            <rFont val="ＭＳ Ｐゴシック"/>
            <family val="3"/>
            <charset val="128"/>
          </rPr>
          <t>加算算定上の「加配人数」を入力</t>
        </r>
        <r>
          <rPr>
            <sz val="10"/>
            <color indexed="81"/>
            <rFont val="ＭＳ Ｐゴシック"/>
            <family val="3"/>
            <charset val="128"/>
          </rPr>
          <t xml:space="preserve">
</t>
        </r>
      </text>
    </comment>
    <comment ref="C45" authorId="0" shapeId="0" xr:uid="{00000000-0006-0000-0200-000002000000}">
      <text>
        <r>
          <rPr>
            <sz val="12"/>
            <color indexed="81"/>
            <rFont val="MS P ゴシック"/>
            <family val="3"/>
            <charset val="128"/>
          </rPr>
          <t>A[配置」であること</t>
        </r>
      </text>
    </comment>
    <comment ref="F47" authorId="0" shapeId="0" xr:uid="{00000000-0006-0000-0200-000003000000}">
      <text>
        <r>
          <rPr>
            <sz val="12"/>
            <color indexed="81"/>
            <rFont val="MS P ゴシック"/>
            <family val="3"/>
            <charset val="128"/>
          </rPr>
          <t>「必要代替保育教諭等数－配置代替保育教諭等数」の値を入力</t>
        </r>
      </text>
    </comment>
    <comment ref="F48" authorId="0" shapeId="0" xr:uid="{00000000-0006-0000-0200-000004000000}">
      <text>
        <r>
          <rPr>
            <sz val="12"/>
            <color indexed="81"/>
            <rFont val="MS P ゴシック"/>
            <family val="3"/>
            <charset val="128"/>
          </rPr>
          <t>「必要保育教諭等数－配置保育教諭等数」
の値を入力</t>
        </r>
      </text>
    </comment>
    <comment ref="I53" authorId="0" shapeId="0" xr:uid="{6E92244C-98B0-43C9-86E0-9BD0A9F4405E}">
      <text>
        <r>
          <rPr>
            <sz val="12"/>
            <color indexed="81"/>
            <rFont val="MS P ゴシック"/>
            <family val="3"/>
            <charset val="128"/>
          </rPr>
          <t>研修修了者の実人数を入力
（実人数を入力しなければ加算見込額が算出されません。）</t>
        </r>
      </text>
    </comment>
    <comment ref="H58" authorId="0" shapeId="0" xr:uid="{D53CE5A0-4294-4314-9BC3-339783620B13}">
      <text>
        <r>
          <rPr>
            <sz val="12"/>
            <color indexed="81"/>
            <rFont val="MS P ゴシック"/>
            <family val="3"/>
            <charset val="128"/>
          </rPr>
          <t>研修修了者の実人数が算定人数に達していない場合は、実人数が人数Aとなります。</t>
        </r>
      </text>
    </comment>
    <comment ref="H59" authorId="0" shapeId="0" xr:uid="{C048432D-8DF6-4C93-B3E0-954FD5241017}">
      <text>
        <r>
          <rPr>
            <sz val="12"/>
            <color indexed="81"/>
            <rFont val="MS P ゴシック"/>
            <family val="3"/>
            <charset val="128"/>
          </rPr>
          <t>研修修了者の実人数が算定人数に達していない場合は、実人数が人数Bとなります。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3" authorId="0" shapeId="0" xr:uid="{BE5704C0-AD27-4E6E-AA2A-A66919E49793}">
      <text>
        <r>
          <rPr>
            <sz val="12"/>
            <color indexed="81"/>
            <rFont val="MS P ゴシック"/>
            <family val="3"/>
            <charset val="128"/>
          </rPr>
          <t>１歳児配置改善加算を受ける場合、１歳児の人数を入力すること</t>
        </r>
      </text>
    </comment>
    <comment ref="C20" authorId="0" shapeId="0" xr:uid="{00000000-0006-0000-0300-000001000000}">
      <text>
        <r>
          <rPr>
            <sz val="12"/>
            <color indexed="81"/>
            <rFont val="MS P ゴシック"/>
            <family val="3"/>
            <charset val="128"/>
          </rPr>
          <t>A「配置」であること</t>
        </r>
      </text>
    </comment>
    <comment ref="I26" authorId="0" shapeId="0" xr:uid="{717195B2-F95E-4E27-87A3-D1A343F3CBFA}">
      <text>
        <r>
          <rPr>
            <sz val="12"/>
            <color indexed="81"/>
            <rFont val="MS P ゴシック"/>
            <family val="3"/>
            <charset val="128"/>
          </rPr>
          <t>研修修了者の実人数を入力
（実人数を入力しなければ加算見込額が算出されません。）</t>
        </r>
      </text>
    </comment>
    <comment ref="H31" authorId="0" shapeId="0" xr:uid="{03939631-E44B-4BA6-AAA7-496CD06CA3F7}">
      <text>
        <r>
          <rPr>
            <sz val="12"/>
            <color indexed="81"/>
            <rFont val="MS P ゴシック"/>
            <family val="3"/>
            <charset val="128"/>
          </rPr>
          <t>研修修了者の実人数が算定人数に達していない場合は、実人数が人数Aとなります。</t>
        </r>
      </text>
    </comment>
    <comment ref="H32" authorId="0" shapeId="0" xr:uid="{C35CBA13-B05C-4888-9D1A-739C62673ECF}">
      <text>
        <r>
          <rPr>
            <sz val="12"/>
            <color indexed="81"/>
            <rFont val="MS P ゴシック"/>
            <family val="3"/>
            <charset val="128"/>
          </rPr>
          <t>研修修了者の実人数が算定人数に達していない場合は、実人数が人数Bとなります。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6" authorId="0" shapeId="0" xr:uid="{3D9098EE-2765-4326-9795-82B436ABDBD1}">
      <text>
        <r>
          <rPr>
            <sz val="12"/>
            <color indexed="81"/>
            <rFont val="MS P ゴシック"/>
            <family val="3"/>
            <charset val="128"/>
          </rPr>
          <t>１歳児配置改善加算を受ける場合、１歳児の人数を入力すること</t>
        </r>
      </text>
    </comment>
    <comment ref="C22" authorId="0" shapeId="0" xr:uid="{00000000-0006-0000-0400-000001000000}">
      <text>
        <r>
          <rPr>
            <sz val="12"/>
            <color indexed="81"/>
            <rFont val="MS P ゴシック"/>
            <family val="3"/>
            <charset val="128"/>
          </rPr>
          <t>A「配置」であること</t>
        </r>
      </text>
    </comment>
    <comment ref="I28" authorId="0" shapeId="0" xr:uid="{F118E35D-1ECA-419F-A552-2EA0102803A8}">
      <text>
        <r>
          <rPr>
            <sz val="12"/>
            <color indexed="81"/>
            <rFont val="MS P ゴシック"/>
            <family val="3"/>
            <charset val="128"/>
          </rPr>
          <t>研修修了者の実人数を入力
（実人数を入力しなければ加算見込額が算出されません。）</t>
        </r>
      </text>
    </comment>
    <comment ref="H33" authorId="0" shapeId="0" xr:uid="{5022E39C-00BB-4C62-AFA7-13C642DC8DA4}">
      <text>
        <r>
          <rPr>
            <sz val="12"/>
            <color indexed="81"/>
            <rFont val="MS P ゴシック"/>
            <family val="3"/>
            <charset val="128"/>
          </rPr>
          <t>研修修了者の実人数が算定人数に達していない場合は、実人数が人数Aとなります。</t>
        </r>
      </text>
    </comment>
    <comment ref="H34" authorId="0" shapeId="0" xr:uid="{E4EA29A8-B822-496A-AB50-09300D8471E9}">
      <text>
        <r>
          <rPr>
            <sz val="12"/>
            <color indexed="81"/>
            <rFont val="MS P ゴシック"/>
            <family val="3"/>
            <charset val="128"/>
          </rPr>
          <t>研修修了者の実人数が算定人数に達していない場合は、実人数が人数Bとなります。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6" authorId="0" shapeId="0" xr:uid="{00000000-0006-0000-0500-000001000000}">
      <text>
        <r>
          <rPr>
            <sz val="12"/>
            <color indexed="81"/>
            <rFont val="MS P ゴシック"/>
            <family val="3"/>
            <charset val="128"/>
          </rPr>
          <t>A「配置」であること</t>
        </r>
      </text>
    </comment>
    <comment ref="I22" authorId="0" shapeId="0" xr:uid="{0C3061D5-070C-4EF2-ABAE-2C7AABCDE468}">
      <text>
        <r>
          <rPr>
            <sz val="12"/>
            <color indexed="81"/>
            <rFont val="MS P ゴシック"/>
            <family val="3"/>
            <charset val="128"/>
          </rPr>
          <t>研修修了者の実人数を入力
（実人数を入力しなければ加算見込額が算出されません。）</t>
        </r>
      </text>
    </comment>
    <comment ref="H27" authorId="0" shapeId="0" xr:uid="{F5D76FA4-0A06-498C-874E-E24CC3D9F6F8}">
      <text>
        <r>
          <rPr>
            <sz val="12"/>
            <color indexed="81"/>
            <rFont val="MS P ゴシック"/>
            <family val="3"/>
            <charset val="128"/>
          </rPr>
          <t>研修修了者の実人数が算定人数に達していない場合は、実人数が人数Aとなります。</t>
        </r>
      </text>
    </comment>
    <comment ref="H28" authorId="0" shapeId="0" xr:uid="{571FCBC7-DA9C-4DDD-A0C2-85626FB06C71}">
      <text>
        <r>
          <rPr>
            <sz val="12"/>
            <color indexed="81"/>
            <rFont val="MS P ゴシック"/>
            <family val="3"/>
            <charset val="128"/>
          </rPr>
          <t>研修修了者の実人数が算定人数に達していない場合は、実人数が人数Bとなります。</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6" authorId="0" shapeId="0" xr:uid="{086EB33E-E9D0-4648-AE61-6D4E84907170}">
      <text>
        <r>
          <rPr>
            <sz val="12"/>
            <color indexed="81"/>
            <rFont val="MS P ゴシック"/>
            <family val="3"/>
            <charset val="128"/>
          </rPr>
          <t>A「配置」であること</t>
        </r>
      </text>
    </comment>
    <comment ref="I22" authorId="0" shapeId="0" xr:uid="{DDCA6427-E5E0-4396-9506-6FF4EF5C21E2}">
      <text>
        <r>
          <rPr>
            <sz val="12"/>
            <color indexed="81"/>
            <rFont val="MS P ゴシック"/>
            <family val="3"/>
            <charset val="128"/>
          </rPr>
          <t>研修修了者の実人数を入力
（実人数を入力しなければ加算見込額が算出されません。）</t>
        </r>
      </text>
    </comment>
    <comment ref="H27" authorId="0" shapeId="0" xr:uid="{80E5CB5F-3570-4029-A3F3-07E9A98FE009}">
      <text>
        <r>
          <rPr>
            <sz val="12"/>
            <color indexed="81"/>
            <rFont val="MS P ゴシック"/>
            <family val="3"/>
            <charset val="128"/>
          </rPr>
          <t>研修修了者の実人数が算定人数に達していない場合は、実人数が人数Aとなります。</t>
        </r>
      </text>
    </comment>
    <comment ref="H28" authorId="0" shapeId="0" xr:uid="{8E8D1BE3-CA2F-4DAA-9DC1-99B17617B58C}">
      <text>
        <r>
          <rPr>
            <sz val="12"/>
            <color indexed="81"/>
            <rFont val="MS P ゴシック"/>
            <family val="3"/>
            <charset val="128"/>
          </rPr>
          <t>研修修了者の実人数が算定人数に達していない場合は、実人数が人数Bとなります。</t>
        </r>
      </text>
    </comment>
  </commentList>
</comments>
</file>

<file path=xl/sharedStrings.xml><?xml version="1.0" encoding="utf-8"?>
<sst xmlns="http://schemas.openxmlformats.org/spreadsheetml/2006/main" count="414" uniqueCount="146">
  <si>
    <t>施設・事業所名</t>
    <rPh sb="0" eb="2">
      <t>シセツ</t>
    </rPh>
    <rPh sb="3" eb="6">
      <t>ジギョウショ</t>
    </rPh>
    <rPh sb="6" eb="7">
      <t>メイ</t>
    </rPh>
    <phoneticPr fontId="1"/>
  </si>
  <si>
    <t>○○○幼稚園</t>
    <rPh sb="3" eb="6">
      <t>ヨウチエン</t>
    </rPh>
    <phoneticPr fontId="1"/>
  </si>
  <si>
    <t>0．基礎情報</t>
    <rPh sb="2" eb="4">
      <t>キソ</t>
    </rPh>
    <rPh sb="4" eb="6">
      <t>ジョウホウ</t>
    </rPh>
    <phoneticPr fontId="1"/>
  </si>
  <si>
    <t>入力項目</t>
    <rPh sb="0" eb="2">
      <t>ニュウリョク</t>
    </rPh>
    <rPh sb="2" eb="4">
      <t>コウモク</t>
    </rPh>
    <phoneticPr fontId="1"/>
  </si>
  <si>
    <t>利用定員数</t>
    <rPh sb="0" eb="2">
      <t>リヨウ</t>
    </rPh>
    <rPh sb="2" eb="4">
      <t>テイイン</t>
    </rPh>
    <rPh sb="4" eb="5">
      <t>スウ</t>
    </rPh>
    <phoneticPr fontId="1"/>
  </si>
  <si>
    <t>在籍園児数</t>
    <rPh sb="0" eb="2">
      <t>ザイセキ</t>
    </rPh>
    <rPh sb="2" eb="4">
      <t>エンジ</t>
    </rPh>
    <rPh sb="4" eb="5">
      <t>スウ</t>
    </rPh>
    <phoneticPr fontId="1"/>
  </si>
  <si>
    <t>４歳児以上児</t>
    <rPh sb="1" eb="3">
      <t>サイジ</t>
    </rPh>
    <rPh sb="3" eb="5">
      <t>イジョウ</t>
    </rPh>
    <rPh sb="5" eb="6">
      <t>ジ</t>
    </rPh>
    <phoneticPr fontId="1"/>
  </si>
  <si>
    <t>３歳児（※満３歳児含む）</t>
    <rPh sb="1" eb="2">
      <t>サイ</t>
    </rPh>
    <rPh sb="2" eb="3">
      <t>ジ</t>
    </rPh>
    <rPh sb="5" eb="6">
      <t>マン</t>
    </rPh>
    <rPh sb="7" eb="8">
      <t>サイ</t>
    </rPh>
    <rPh sb="8" eb="9">
      <t>ジ</t>
    </rPh>
    <rPh sb="9" eb="10">
      <t>フク</t>
    </rPh>
    <phoneticPr fontId="1"/>
  </si>
  <si>
    <t>うち満３歳児</t>
    <rPh sb="2" eb="3">
      <t>マン</t>
    </rPh>
    <rPh sb="4" eb="5">
      <t>サイ</t>
    </rPh>
    <rPh sb="5" eb="6">
      <t>ジ</t>
    </rPh>
    <phoneticPr fontId="1"/>
  </si>
  <si>
    <t>※</t>
    <phoneticPr fontId="1"/>
  </si>
  <si>
    <r>
      <t xml:space="preserve">各月平均の年齢別児童数を使用する場合は、別途配布している「年齢別児童数計算表」により計算した児童数を入力すること。
</t>
    </r>
    <r>
      <rPr>
        <sz val="11"/>
        <color rgb="FFFF0000"/>
        <rFont val="HG丸ｺﾞｼｯｸM-PRO"/>
        <family val="3"/>
        <charset val="128"/>
      </rPr>
      <t>特例給付を受けて利用する児童がいる場合は、該当する年齢区分に含めること。</t>
    </r>
    <rPh sb="0" eb="2">
      <t>カクツキ</t>
    </rPh>
    <rPh sb="2" eb="4">
      <t>ヘイキン</t>
    </rPh>
    <rPh sb="5" eb="8">
      <t>ネンレイベツ</t>
    </rPh>
    <rPh sb="8" eb="11">
      <t>ジドウスウ</t>
    </rPh>
    <rPh sb="12" eb="14">
      <t>シヨウ</t>
    </rPh>
    <rPh sb="16" eb="18">
      <t>バアイ</t>
    </rPh>
    <rPh sb="20" eb="22">
      <t>ベット</t>
    </rPh>
    <rPh sb="22" eb="24">
      <t>ハイフ</t>
    </rPh>
    <rPh sb="29" eb="32">
      <t>ネンレイベツ</t>
    </rPh>
    <rPh sb="32" eb="35">
      <t>ジドウスウ</t>
    </rPh>
    <rPh sb="35" eb="37">
      <t>ケイサン</t>
    </rPh>
    <rPh sb="37" eb="38">
      <t>オモテ</t>
    </rPh>
    <rPh sb="42" eb="44">
      <t>ケイサン</t>
    </rPh>
    <rPh sb="46" eb="49">
      <t>ジドウスウ</t>
    </rPh>
    <rPh sb="50" eb="52">
      <t>ニュウリョク</t>
    </rPh>
    <phoneticPr fontId="1"/>
  </si>
  <si>
    <t>１．加算対象人数の基礎となる職員数（人）</t>
    <rPh sb="2" eb="4">
      <t>カサン</t>
    </rPh>
    <rPh sb="4" eb="6">
      <t>タイショウ</t>
    </rPh>
    <rPh sb="6" eb="8">
      <t>ニンズウ</t>
    </rPh>
    <rPh sb="9" eb="11">
      <t>キソ</t>
    </rPh>
    <rPh sb="14" eb="17">
      <t>ショクインスウ</t>
    </rPh>
    <rPh sb="18" eb="19">
      <t>ニン</t>
    </rPh>
    <phoneticPr fontId="1"/>
  </si>
  <si>
    <t>選択
項目</t>
    <rPh sb="0" eb="2">
      <t>センタク</t>
    </rPh>
    <rPh sb="3" eb="5">
      <t>コウモク</t>
    </rPh>
    <phoneticPr fontId="1"/>
  </si>
  <si>
    <t>入力
項目</t>
    <rPh sb="0" eb="2">
      <t>ニュウリョク</t>
    </rPh>
    <rPh sb="3" eb="5">
      <t>コウモク</t>
    </rPh>
    <phoneticPr fontId="1"/>
  </si>
  <si>
    <t>職員数
（自動計算）</t>
    <rPh sb="0" eb="3">
      <t>ショクインスウ</t>
    </rPh>
    <rPh sb="5" eb="7">
      <t>ジドウ</t>
    </rPh>
    <rPh sb="7" eb="9">
      <t>ケイサン</t>
    </rPh>
    <phoneticPr fontId="1"/>
  </si>
  <si>
    <t>ａ</t>
    <phoneticPr fontId="1"/>
  </si>
  <si>
    <t>年齢別配置基準による職員数（小数点第一位四捨五入）</t>
    <rPh sb="0" eb="3">
      <t>ネンレイベツ</t>
    </rPh>
    <rPh sb="3" eb="7">
      <t>ハイキ</t>
    </rPh>
    <rPh sb="10" eb="13">
      <t>ショクインスウ</t>
    </rPh>
    <phoneticPr fontId="1"/>
  </si>
  <si>
    <t>３歳児配置改善加算</t>
    <phoneticPr fontId="1"/>
  </si>
  <si>
    <t>あり</t>
  </si>
  <si>
    <t>満３歳児配置改善加算</t>
    <rPh sb="0" eb="1">
      <t>マン</t>
    </rPh>
    <rPh sb="2" eb="3">
      <t>サイ</t>
    </rPh>
    <rPh sb="3" eb="4">
      <t>ジ</t>
    </rPh>
    <rPh sb="4" eb="6">
      <t>ハイチ</t>
    </rPh>
    <rPh sb="6" eb="8">
      <t>カイゼン</t>
    </rPh>
    <rPh sb="8" eb="10">
      <t>カサン</t>
    </rPh>
    <phoneticPr fontId="1"/>
  </si>
  <si>
    <t>ｂ</t>
    <phoneticPr fontId="1"/>
  </si>
  <si>
    <t>講師配置加算</t>
    <rPh sb="0" eb="2">
      <t>コウシ</t>
    </rPh>
    <rPh sb="2" eb="4">
      <t>ハイチ</t>
    </rPh>
    <rPh sb="4" eb="6">
      <t>カサン</t>
    </rPh>
    <phoneticPr fontId="1"/>
  </si>
  <si>
    <t>ｃ</t>
    <phoneticPr fontId="1"/>
  </si>
  <si>
    <t>チーム保育加配加算</t>
    <rPh sb="3" eb="5">
      <t>ホイク</t>
    </rPh>
    <rPh sb="5" eb="7">
      <t>カハイ</t>
    </rPh>
    <rPh sb="7" eb="9">
      <t>カサン</t>
    </rPh>
    <phoneticPr fontId="1"/>
  </si>
  <si>
    <t>ｄ</t>
    <phoneticPr fontId="1"/>
  </si>
  <si>
    <t>通園送迎加算</t>
    <rPh sb="0" eb="2">
      <t>ツウエン</t>
    </rPh>
    <rPh sb="2" eb="4">
      <t>ソウゲイ</t>
    </rPh>
    <rPh sb="4" eb="6">
      <t>カサン</t>
    </rPh>
    <phoneticPr fontId="1"/>
  </si>
  <si>
    <t>ｅ</t>
    <phoneticPr fontId="1"/>
  </si>
  <si>
    <t>給食実施加算（自園調理に限る。）</t>
    <rPh sb="0" eb="2">
      <t>キュウショク</t>
    </rPh>
    <rPh sb="2" eb="4">
      <t>ジッシ</t>
    </rPh>
    <rPh sb="4" eb="6">
      <t>カサン</t>
    </rPh>
    <rPh sb="7" eb="8">
      <t>ジ</t>
    </rPh>
    <rPh sb="8" eb="9">
      <t>エン</t>
    </rPh>
    <rPh sb="9" eb="11">
      <t>チョウリ</t>
    </rPh>
    <rPh sb="12" eb="13">
      <t>カギ</t>
    </rPh>
    <phoneticPr fontId="1"/>
  </si>
  <si>
    <t>ｆ</t>
    <phoneticPr fontId="1"/>
  </si>
  <si>
    <t>主幹教諭等専任加算</t>
    <rPh sb="0" eb="2">
      <t>シュカン</t>
    </rPh>
    <rPh sb="2" eb="4">
      <t>キョウユ</t>
    </rPh>
    <rPh sb="4" eb="5">
      <t>トウ</t>
    </rPh>
    <rPh sb="5" eb="7">
      <t>センニン</t>
    </rPh>
    <rPh sb="7" eb="9">
      <t>カサン</t>
    </rPh>
    <phoneticPr fontId="1"/>
  </si>
  <si>
    <t>ｇ</t>
    <phoneticPr fontId="1"/>
  </si>
  <si>
    <t>事務職員配置加算</t>
    <rPh sb="0" eb="2">
      <t>ジム</t>
    </rPh>
    <rPh sb="2" eb="4">
      <t>ショクイン</t>
    </rPh>
    <rPh sb="4" eb="6">
      <t>ハイチ</t>
    </rPh>
    <rPh sb="6" eb="8">
      <t>カサン</t>
    </rPh>
    <phoneticPr fontId="1"/>
  </si>
  <si>
    <t>ｈ</t>
    <phoneticPr fontId="1"/>
  </si>
  <si>
    <t>指導充実加配加算</t>
    <rPh sb="0" eb="2">
      <t>シドウ</t>
    </rPh>
    <rPh sb="2" eb="4">
      <t>ジュウジツ</t>
    </rPh>
    <rPh sb="4" eb="6">
      <t>カハイ</t>
    </rPh>
    <rPh sb="6" eb="8">
      <t>カサン</t>
    </rPh>
    <phoneticPr fontId="1"/>
  </si>
  <si>
    <t>i</t>
    <phoneticPr fontId="1"/>
  </si>
  <si>
    <t>事務負担対応加配加算</t>
    <rPh sb="0" eb="2">
      <t>ジム</t>
    </rPh>
    <rPh sb="2" eb="4">
      <t>フタン</t>
    </rPh>
    <rPh sb="4" eb="6">
      <t>タイオウ</t>
    </rPh>
    <rPh sb="6" eb="8">
      <t>カハイ</t>
    </rPh>
    <rPh sb="8" eb="10">
      <t>カサン</t>
    </rPh>
    <phoneticPr fontId="1"/>
  </si>
  <si>
    <t>ｊ</t>
    <phoneticPr fontId="1"/>
  </si>
  <si>
    <t>栄養管理加算</t>
    <rPh sb="0" eb="2">
      <t>エイヨウ</t>
    </rPh>
    <rPh sb="2" eb="4">
      <t>カンリ</t>
    </rPh>
    <rPh sb="4" eb="6">
      <t>カサン</t>
    </rPh>
    <phoneticPr fontId="1"/>
  </si>
  <si>
    <t>k</t>
    <phoneticPr fontId="1"/>
  </si>
  <si>
    <t>副園長・教頭配置加算</t>
    <rPh sb="0" eb="3">
      <t>フクエンチョウ</t>
    </rPh>
    <rPh sb="4" eb="6">
      <t>キョウトウ</t>
    </rPh>
    <rPh sb="6" eb="8">
      <t>ハイチ</t>
    </rPh>
    <rPh sb="8" eb="10">
      <t>カサン</t>
    </rPh>
    <phoneticPr fontId="1"/>
  </si>
  <si>
    <t>ｌ</t>
    <phoneticPr fontId="1"/>
  </si>
  <si>
    <t>利用定員数に基づく職員数</t>
    <rPh sb="0" eb="2">
      <t>リヨウ</t>
    </rPh>
    <rPh sb="2" eb="5">
      <t>テイインスウ</t>
    </rPh>
    <rPh sb="6" eb="7">
      <t>モト</t>
    </rPh>
    <rPh sb="9" eb="12">
      <t>ショクインスウ</t>
    </rPh>
    <phoneticPr fontId="1"/>
  </si>
  <si>
    <t>合計</t>
    <rPh sb="0" eb="2">
      <t>ゴウケイ</t>
    </rPh>
    <phoneticPr fontId="1"/>
  </si>
  <si>
    <t>職員数（1人未満端数　四捨五入）</t>
    <rPh sb="0" eb="3">
      <t>ショクインスウ</t>
    </rPh>
    <rPh sb="5" eb="6">
      <t>ニン</t>
    </rPh>
    <rPh sb="6" eb="8">
      <t>ミマン</t>
    </rPh>
    <rPh sb="8" eb="10">
      <t>ハスウ</t>
    </rPh>
    <rPh sb="11" eb="15">
      <t>シシャゴニュウ</t>
    </rPh>
    <phoneticPr fontId="1"/>
  </si>
  <si>
    <t>※　基本分に含まれる事務職員等ー１（主幹教諭）</t>
    <rPh sb="2" eb="4">
      <t>キホン</t>
    </rPh>
    <rPh sb="4" eb="5">
      <t>ブン</t>
    </rPh>
    <rPh sb="6" eb="7">
      <t>フク</t>
    </rPh>
    <rPh sb="10" eb="12">
      <t>ジム</t>
    </rPh>
    <rPh sb="12" eb="14">
      <t>ショクイン</t>
    </rPh>
    <rPh sb="14" eb="15">
      <t>トウ</t>
    </rPh>
    <rPh sb="18" eb="20">
      <t>シュカン</t>
    </rPh>
    <rPh sb="20" eb="22">
      <t>キョウユ</t>
    </rPh>
    <phoneticPr fontId="1"/>
  </si>
  <si>
    <t>２．加算対象職員数（人）</t>
    <rPh sb="2" eb="4">
      <t>カサン</t>
    </rPh>
    <rPh sb="4" eb="6">
      <t>タイショウ</t>
    </rPh>
    <rPh sb="6" eb="8">
      <t>ショクイン</t>
    </rPh>
    <rPh sb="8" eb="9">
      <t>スウ</t>
    </rPh>
    <rPh sb="10" eb="11">
      <t>ニン</t>
    </rPh>
    <phoneticPr fontId="1"/>
  </si>
  <si>
    <t>人数A（職員数の１／３）</t>
    <phoneticPr fontId="1"/>
  </si>
  <si>
    <t>人数B（職員数の１／５）</t>
    <rPh sb="0" eb="2">
      <t>ニンズウ</t>
    </rPh>
    <rPh sb="4" eb="6">
      <t>ショクイン</t>
    </rPh>
    <rPh sb="6" eb="7">
      <t>スウ</t>
    </rPh>
    <phoneticPr fontId="1"/>
  </si>
  <si>
    <t>（参考）加算見込額（円）</t>
    <rPh sb="1" eb="3">
      <t>サンコウ</t>
    </rPh>
    <rPh sb="4" eb="6">
      <t>カサン</t>
    </rPh>
    <rPh sb="6" eb="8">
      <t>ミコ</t>
    </rPh>
    <rPh sb="8" eb="9">
      <t>ガク</t>
    </rPh>
    <rPh sb="10" eb="11">
      <t>エン</t>
    </rPh>
    <phoneticPr fontId="1"/>
  </si>
  <si>
    <t>×人数A</t>
    <phoneticPr fontId="1"/>
  </si>
  <si>
    <t>×人数B</t>
    <phoneticPr fontId="1"/>
  </si>
  <si>
    <t>合計</t>
    <phoneticPr fontId="1"/>
  </si>
  <si>
    <t>○○○保育所</t>
    <rPh sb="3" eb="6">
      <t>ホイクショ</t>
    </rPh>
    <phoneticPr fontId="1"/>
  </si>
  <si>
    <t>選択項目</t>
    <rPh sb="0" eb="2">
      <t>センタク</t>
    </rPh>
    <rPh sb="2" eb="4">
      <t>コウモク</t>
    </rPh>
    <phoneticPr fontId="1"/>
  </si>
  <si>
    <t>分園の有無</t>
    <rPh sb="0" eb="2">
      <t>ブンエン</t>
    </rPh>
    <rPh sb="3" eb="5">
      <t>ウム</t>
    </rPh>
    <phoneticPr fontId="1"/>
  </si>
  <si>
    <t>本園分を
記入</t>
    <rPh sb="0" eb="1">
      <t>ホン</t>
    </rPh>
    <rPh sb="1" eb="2">
      <t>エン</t>
    </rPh>
    <rPh sb="2" eb="3">
      <t>ブン</t>
    </rPh>
    <rPh sb="5" eb="7">
      <t>キニュウ</t>
    </rPh>
    <phoneticPr fontId="1"/>
  </si>
  <si>
    <t>年齢別児童数</t>
    <rPh sb="0" eb="3">
      <t>ネンレイベツ</t>
    </rPh>
    <rPh sb="3" eb="6">
      <t>ジドウスウ</t>
    </rPh>
    <phoneticPr fontId="1"/>
  </si>
  <si>
    <t>３歳児</t>
    <rPh sb="1" eb="2">
      <t>サイ</t>
    </rPh>
    <rPh sb="2" eb="3">
      <t>ジ</t>
    </rPh>
    <phoneticPr fontId="1"/>
  </si>
  <si>
    <t>１，２歳児</t>
    <rPh sb="3" eb="5">
      <t>サイジ</t>
    </rPh>
    <phoneticPr fontId="1"/>
  </si>
  <si>
    <t>０歳児</t>
    <rPh sb="1" eb="3">
      <t>サイジ</t>
    </rPh>
    <phoneticPr fontId="1"/>
  </si>
  <si>
    <t>本園分</t>
    <rPh sb="0" eb="1">
      <t>ホン</t>
    </rPh>
    <rPh sb="1" eb="2">
      <t>エン</t>
    </rPh>
    <rPh sb="2" eb="3">
      <t>ブン</t>
    </rPh>
    <phoneticPr fontId="1"/>
  </si>
  <si>
    <t>年齢別配置基準による職員数</t>
    <rPh sb="0" eb="3">
      <t>ネンレイベツ</t>
    </rPh>
    <rPh sb="3" eb="7">
      <t>ハイキ</t>
    </rPh>
    <rPh sb="10" eb="13">
      <t>ショクインスウ</t>
    </rPh>
    <phoneticPr fontId="1"/>
  </si>
  <si>
    <t>4歳以上児</t>
    <rPh sb="1" eb="4">
      <t>サイイジョウ</t>
    </rPh>
    <rPh sb="2" eb="4">
      <t>イジョウ</t>
    </rPh>
    <rPh sb="4" eb="5">
      <t>ジ</t>
    </rPh>
    <phoneticPr fontId="1"/>
  </si>
  <si>
    <t>3歳児</t>
    <rPh sb="1" eb="3">
      <t>サイジ</t>
    </rPh>
    <phoneticPr fontId="1"/>
  </si>
  <si>
    <t xml:space="preserve">  3歳児配置改善加算</t>
    <rPh sb="3" eb="5">
      <t>サイジ</t>
    </rPh>
    <rPh sb="5" eb="7">
      <t>ハイチ</t>
    </rPh>
    <rPh sb="7" eb="9">
      <t>カイゼン</t>
    </rPh>
    <rPh sb="9" eb="11">
      <t>カサン</t>
    </rPh>
    <phoneticPr fontId="1"/>
  </si>
  <si>
    <t>小計（小数点第一位四捨五入）</t>
    <rPh sb="0" eb="2">
      <t>ショウケイ</t>
    </rPh>
    <rPh sb="3" eb="6">
      <t>ショウスウテン</t>
    </rPh>
    <rPh sb="6" eb="7">
      <t>ダイ</t>
    </rPh>
    <rPh sb="7" eb="9">
      <t>イチイ</t>
    </rPh>
    <rPh sb="9" eb="13">
      <t>シシャゴニュウ</t>
    </rPh>
    <phoneticPr fontId="1"/>
  </si>
  <si>
    <t>保育標準時間認定の児童</t>
    <rPh sb="0" eb="2">
      <t>ホイク</t>
    </rPh>
    <rPh sb="2" eb="4">
      <t>ヒョウジュン</t>
    </rPh>
    <rPh sb="4" eb="6">
      <t>ジカン</t>
    </rPh>
    <rPh sb="6" eb="8">
      <t>ニンテイ</t>
    </rPh>
    <rPh sb="9" eb="11">
      <t>ジドウ</t>
    </rPh>
    <phoneticPr fontId="1"/>
  </si>
  <si>
    <t>主任保育士専任加算</t>
    <rPh sb="0" eb="2">
      <t>シュニン</t>
    </rPh>
    <rPh sb="2" eb="5">
      <t>ホイクシ</t>
    </rPh>
    <rPh sb="5" eb="7">
      <t>センニン</t>
    </rPh>
    <rPh sb="7" eb="9">
      <t>カサン</t>
    </rPh>
    <phoneticPr fontId="1"/>
  </si>
  <si>
    <t>休日保育加算</t>
    <rPh sb="0" eb="2">
      <t>キュウジツ</t>
    </rPh>
    <rPh sb="2" eb="4">
      <t>ホイク</t>
    </rPh>
    <rPh sb="4" eb="6">
      <t>カサン</t>
    </rPh>
    <phoneticPr fontId="1"/>
  </si>
  <si>
    <t>チーム保育推進加算</t>
    <rPh sb="3" eb="5">
      <t>ホイク</t>
    </rPh>
    <rPh sb="5" eb="7">
      <t>スイシン</t>
    </rPh>
    <rPh sb="7" eb="9">
      <t>カサン</t>
    </rPh>
    <phoneticPr fontId="1"/>
  </si>
  <si>
    <t>g</t>
    <phoneticPr fontId="1"/>
  </si>
  <si>
    <t>利用定員数に基づく職員数</t>
    <rPh sb="0" eb="2">
      <t>リヨウ</t>
    </rPh>
    <rPh sb="2" eb="4">
      <t>テイイン</t>
    </rPh>
    <rPh sb="4" eb="5">
      <t>スウ</t>
    </rPh>
    <rPh sb="6" eb="7">
      <t>モト</t>
    </rPh>
    <rPh sb="9" eb="12">
      <t>ショクインスウ</t>
    </rPh>
    <phoneticPr fontId="1"/>
  </si>
  <si>
    <t>円　×　人数A</t>
    <rPh sb="0" eb="1">
      <t>エン</t>
    </rPh>
    <rPh sb="4" eb="6">
      <t>ニンズウ</t>
    </rPh>
    <phoneticPr fontId="1"/>
  </si>
  <si>
    <t>円　×　人数B</t>
    <rPh sb="0" eb="1">
      <t>エン</t>
    </rPh>
    <rPh sb="4" eb="6">
      <t>ニンズウ</t>
    </rPh>
    <phoneticPr fontId="1"/>
  </si>
  <si>
    <t>合　計</t>
    <rPh sb="0" eb="1">
      <t>ア</t>
    </rPh>
    <rPh sb="2" eb="3">
      <t>ケイ</t>
    </rPh>
    <phoneticPr fontId="1"/>
  </si>
  <si>
    <t>○○○認定こども園</t>
    <rPh sb="3" eb="5">
      <t>ニン</t>
    </rPh>
    <phoneticPr fontId="1"/>
  </si>
  <si>
    <t>１号</t>
    <rPh sb="1" eb="2">
      <t>ゴウ</t>
    </rPh>
    <phoneticPr fontId="1"/>
  </si>
  <si>
    <t>２・３号</t>
    <rPh sb="3" eb="4">
      <t>ゴウ</t>
    </rPh>
    <phoneticPr fontId="1"/>
  </si>
  <si>
    <t>　うち満３歳児</t>
    <rPh sb="3" eb="4">
      <t>マン</t>
    </rPh>
    <rPh sb="5" eb="7">
      <t>サイジ</t>
    </rPh>
    <phoneticPr fontId="1"/>
  </si>
  <si>
    <t>１．加算対象人数の基礎となる職員数</t>
    <rPh sb="2" eb="4">
      <t>カサン</t>
    </rPh>
    <rPh sb="4" eb="6">
      <t>タイショウ</t>
    </rPh>
    <rPh sb="6" eb="8">
      <t>ニンズウ</t>
    </rPh>
    <rPh sb="9" eb="11">
      <t>キソ</t>
    </rPh>
    <rPh sb="14" eb="17">
      <t>ショクインスウ</t>
    </rPh>
    <phoneticPr fontId="1"/>
  </si>
  <si>
    <t>3歳児（満３歳児含む）</t>
    <rPh sb="1" eb="3">
      <t>サイジ</t>
    </rPh>
    <rPh sb="4" eb="5">
      <t>マン</t>
    </rPh>
    <rPh sb="6" eb="8">
      <t>サイジ</t>
    </rPh>
    <rPh sb="8" eb="9">
      <t>フク</t>
    </rPh>
    <phoneticPr fontId="1"/>
  </si>
  <si>
    <t>　３歳児配置改善加算</t>
    <phoneticPr fontId="1"/>
  </si>
  <si>
    <t>　満３歳児対応加配加算</t>
    <rPh sb="1" eb="2">
      <t>マン</t>
    </rPh>
    <rPh sb="3" eb="4">
      <t>サイ</t>
    </rPh>
    <rPh sb="4" eb="5">
      <t>ジ</t>
    </rPh>
    <rPh sb="5" eb="7">
      <t>タイオウ</t>
    </rPh>
    <rPh sb="7" eb="9">
      <t>カハイ</t>
    </rPh>
    <rPh sb="9" eb="11">
      <t>カサン</t>
    </rPh>
    <phoneticPr fontId="1"/>
  </si>
  <si>
    <t>b</t>
    <phoneticPr fontId="1"/>
  </si>
  <si>
    <t>休けい保育教諭</t>
    <rPh sb="0" eb="1">
      <t>キュウ</t>
    </rPh>
    <rPh sb="3" eb="5">
      <t>ホイク</t>
    </rPh>
    <rPh sb="5" eb="7">
      <t>キョウユ</t>
    </rPh>
    <phoneticPr fontId="1"/>
  </si>
  <si>
    <t>調理員</t>
    <rPh sb="0" eb="3">
      <t>チョウリイン</t>
    </rPh>
    <phoneticPr fontId="1"/>
  </si>
  <si>
    <t>d</t>
    <phoneticPr fontId="1"/>
  </si>
  <si>
    <t>e</t>
    <phoneticPr fontId="1"/>
  </si>
  <si>
    <t>学級編制調整加配加算</t>
    <rPh sb="0" eb="2">
      <t>ガッキュウ</t>
    </rPh>
    <rPh sb="2" eb="4">
      <t>ヘンセイ</t>
    </rPh>
    <rPh sb="4" eb="6">
      <t>チョウセイ</t>
    </rPh>
    <rPh sb="6" eb="8">
      <t>カハイ</t>
    </rPh>
    <rPh sb="8" eb="10">
      <t>カサン</t>
    </rPh>
    <phoneticPr fontId="1"/>
  </si>
  <si>
    <t>f</t>
    <phoneticPr fontId="1"/>
  </si>
  <si>
    <t>h</t>
    <phoneticPr fontId="1"/>
  </si>
  <si>
    <t>給食実施加算（自園調理に限る。）</t>
    <rPh sb="0" eb="2">
      <t>キュウショク</t>
    </rPh>
    <rPh sb="2" eb="4">
      <t>ジッシ</t>
    </rPh>
    <rPh sb="4" eb="6">
      <t>カサン</t>
    </rPh>
    <phoneticPr fontId="1"/>
  </si>
  <si>
    <t>j</t>
  </si>
  <si>
    <t>k</t>
  </si>
  <si>
    <t>l</t>
  </si>
  <si>
    <t>m</t>
  </si>
  <si>
    <t>n</t>
    <phoneticPr fontId="1"/>
  </si>
  <si>
    <t>o</t>
    <phoneticPr fontId="1"/>
  </si>
  <si>
    <t>p</t>
    <phoneticPr fontId="1"/>
  </si>
  <si>
    <t>該当</t>
  </si>
  <si>
    <t>q</t>
    <phoneticPr fontId="1"/>
  </si>
  <si>
    <t>年齢別配置基準を下回る場合</t>
    <rPh sb="0" eb="3">
      <t>ネンレイベツ</t>
    </rPh>
    <rPh sb="3" eb="7">
      <t>ハイキ</t>
    </rPh>
    <rPh sb="8" eb="10">
      <t>シタマワ</t>
    </rPh>
    <rPh sb="11" eb="13">
      <t>バアイ</t>
    </rPh>
    <phoneticPr fontId="1"/>
  </si>
  <si>
    <r>
      <t>４歳以上児</t>
    </r>
    <r>
      <rPr>
        <sz val="11"/>
        <color indexed="10"/>
        <rFont val="HG丸ｺﾞｼｯｸM-PRO"/>
        <family val="3"/>
        <charset val="128"/>
      </rPr>
      <t>（特例給付対象児童）</t>
    </r>
    <r>
      <rPr>
        <sz val="11"/>
        <color indexed="8"/>
        <rFont val="HG丸ｺﾞｼｯｸM-PRO"/>
        <family val="3"/>
        <charset val="128"/>
      </rPr>
      <t xml:space="preserve">
</t>
    </r>
    <r>
      <rPr>
        <sz val="10"/>
        <color indexed="8"/>
        <rFont val="HG丸ｺﾞｼｯｸM-PRO"/>
        <family val="3"/>
        <charset val="128"/>
      </rPr>
      <t>※障害児保育加算ありの場合障害児を除いた数</t>
    </r>
    <rPh sb="1" eb="4">
      <t>サイイジョウ</t>
    </rPh>
    <rPh sb="4" eb="5">
      <t>ジ</t>
    </rPh>
    <rPh sb="6" eb="8">
      <t>トクレイ</t>
    </rPh>
    <rPh sb="8" eb="10">
      <t>キュウフ</t>
    </rPh>
    <rPh sb="10" eb="12">
      <t>タイショウ</t>
    </rPh>
    <rPh sb="12" eb="14">
      <t>ジドウ</t>
    </rPh>
    <rPh sb="17" eb="20">
      <t>ショウガイジ</t>
    </rPh>
    <rPh sb="20" eb="22">
      <t>ホイク</t>
    </rPh>
    <rPh sb="22" eb="24">
      <t>カサン</t>
    </rPh>
    <rPh sb="27" eb="29">
      <t>バアイ</t>
    </rPh>
    <rPh sb="29" eb="32">
      <t>ショウガイジ</t>
    </rPh>
    <rPh sb="33" eb="34">
      <t>ノゾ</t>
    </rPh>
    <rPh sb="36" eb="37">
      <t>カズ</t>
    </rPh>
    <phoneticPr fontId="25"/>
  </si>
  <si>
    <r>
      <t>３歳児</t>
    </r>
    <r>
      <rPr>
        <sz val="11"/>
        <color indexed="10"/>
        <rFont val="HG丸ｺﾞｼｯｸM-PRO"/>
        <family val="3"/>
        <charset val="128"/>
      </rPr>
      <t>（特例給付対象児童）</t>
    </r>
    <r>
      <rPr>
        <sz val="11"/>
        <color indexed="8"/>
        <rFont val="HG丸ｺﾞｼｯｸM-PRO"/>
        <family val="3"/>
        <charset val="128"/>
      </rPr>
      <t xml:space="preserve">
</t>
    </r>
    <r>
      <rPr>
        <sz val="10"/>
        <color indexed="8"/>
        <rFont val="HG丸ｺﾞｼｯｸM-PRO"/>
        <family val="3"/>
        <charset val="128"/>
      </rPr>
      <t>※障害児保育加算ありの場合障害児を除いた数</t>
    </r>
    <rPh sb="1" eb="3">
      <t>サイジ</t>
    </rPh>
    <rPh sb="4" eb="6">
      <t>トクレイ</t>
    </rPh>
    <rPh sb="6" eb="8">
      <t>キュウフ</t>
    </rPh>
    <rPh sb="8" eb="10">
      <t>タイショウ</t>
    </rPh>
    <rPh sb="10" eb="12">
      <t>ジドウ</t>
    </rPh>
    <rPh sb="15" eb="18">
      <t>ショウガイジ</t>
    </rPh>
    <rPh sb="18" eb="20">
      <t>ホイク</t>
    </rPh>
    <rPh sb="20" eb="22">
      <t>カサン</t>
    </rPh>
    <rPh sb="25" eb="27">
      <t>バアイ</t>
    </rPh>
    <rPh sb="27" eb="30">
      <t>ショウガイジ</t>
    </rPh>
    <rPh sb="31" eb="32">
      <t>ノゾ</t>
    </rPh>
    <rPh sb="34" eb="35">
      <t>カズ</t>
    </rPh>
    <phoneticPr fontId="25"/>
  </si>
  <si>
    <r>
      <t xml:space="preserve">１，２歳児
</t>
    </r>
    <r>
      <rPr>
        <sz val="10"/>
        <color theme="1"/>
        <rFont val="HG丸ｺﾞｼｯｸM-PRO"/>
        <family val="3"/>
        <charset val="128"/>
      </rPr>
      <t>※障害児保育加算ありの場合障害児を除いた数</t>
    </r>
    <rPh sb="3" eb="5">
      <t>サイジ</t>
    </rPh>
    <rPh sb="7" eb="10">
      <t>ショウガイジ</t>
    </rPh>
    <rPh sb="10" eb="12">
      <t>ホイク</t>
    </rPh>
    <rPh sb="12" eb="14">
      <t>カサン</t>
    </rPh>
    <rPh sb="17" eb="19">
      <t>バアイ</t>
    </rPh>
    <rPh sb="19" eb="22">
      <t>ショウガイジ</t>
    </rPh>
    <rPh sb="23" eb="24">
      <t>ノゾ</t>
    </rPh>
    <rPh sb="26" eb="27">
      <t>カズ</t>
    </rPh>
    <phoneticPr fontId="25"/>
  </si>
  <si>
    <r>
      <t xml:space="preserve">０歳児
</t>
    </r>
    <r>
      <rPr>
        <sz val="10"/>
        <color theme="1"/>
        <rFont val="HG丸ｺﾞｼｯｸM-PRO"/>
        <family val="3"/>
        <charset val="128"/>
      </rPr>
      <t>※障害児保育加算ありの場合障害児を除いた数</t>
    </r>
    <rPh sb="1" eb="3">
      <t>サイジ</t>
    </rPh>
    <phoneticPr fontId="1"/>
  </si>
  <si>
    <t>障害児（障害児保育加算ありの場合）</t>
    <rPh sb="0" eb="3">
      <t>ショウガイジ</t>
    </rPh>
    <rPh sb="4" eb="7">
      <t>ショウガイジ</t>
    </rPh>
    <rPh sb="7" eb="9">
      <t>ホイク</t>
    </rPh>
    <rPh sb="9" eb="11">
      <t>カサン</t>
    </rPh>
    <rPh sb="14" eb="16">
      <t>バアイ</t>
    </rPh>
    <phoneticPr fontId="1"/>
  </si>
  <si>
    <t>調整</t>
    <rPh sb="0" eb="2">
      <t>チョウセイ</t>
    </rPh>
    <phoneticPr fontId="1"/>
  </si>
  <si>
    <t>食事の提供について自園調理又は連携施設
からの搬入以外に方法による減算</t>
    <rPh sb="0" eb="2">
      <t>ショクジ</t>
    </rPh>
    <rPh sb="3" eb="5">
      <t>テイキョウ</t>
    </rPh>
    <rPh sb="9" eb="10">
      <t>ジ</t>
    </rPh>
    <rPh sb="10" eb="11">
      <t>エン</t>
    </rPh>
    <rPh sb="11" eb="13">
      <t>チョウリ</t>
    </rPh>
    <rPh sb="13" eb="14">
      <t>マタ</t>
    </rPh>
    <rPh sb="15" eb="17">
      <t>レンケイ</t>
    </rPh>
    <rPh sb="17" eb="19">
      <t>シセツ</t>
    </rPh>
    <rPh sb="23" eb="25">
      <t>ハンニュウ</t>
    </rPh>
    <rPh sb="25" eb="27">
      <t>イガイ</t>
    </rPh>
    <rPh sb="28" eb="30">
      <t>ホウホウ</t>
    </rPh>
    <rPh sb="33" eb="35">
      <t>ゲンサン</t>
    </rPh>
    <phoneticPr fontId="1"/>
  </si>
  <si>
    <t>加算</t>
    <rPh sb="0" eb="2">
      <t>カサン</t>
    </rPh>
    <phoneticPr fontId="1"/>
  </si>
  <si>
    <r>
      <t xml:space="preserve">１，２歳児
</t>
    </r>
    <r>
      <rPr>
        <sz val="10"/>
        <color theme="1"/>
        <rFont val="HG丸ｺﾞｼｯｸM-PRO"/>
        <family val="3"/>
        <charset val="128"/>
      </rPr>
      <t>※障害児保育加算ありの場合障害児を除いた数</t>
    </r>
    <rPh sb="3" eb="5">
      <t>サイジ</t>
    </rPh>
    <rPh sb="7" eb="10">
      <t>ショウガイジ</t>
    </rPh>
    <rPh sb="10" eb="12">
      <t>ホイク</t>
    </rPh>
    <rPh sb="12" eb="14">
      <t>カサン</t>
    </rPh>
    <rPh sb="17" eb="19">
      <t>バアイ</t>
    </rPh>
    <rPh sb="19" eb="22">
      <t>ショウガイジ</t>
    </rPh>
    <rPh sb="23" eb="24">
      <t>ノゾ</t>
    </rPh>
    <rPh sb="26" eb="27">
      <t>カズ</t>
    </rPh>
    <phoneticPr fontId="1"/>
  </si>
  <si>
    <t>なし</t>
  </si>
  <si>
    <t>利用定員数に基づく職員数</t>
  </si>
  <si>
    <t>障害児保育加算</t>
    <rPh sb="0" eb="3">
      <t>ショウガイジ</t>
    </rPh>
    <rPh sb="3" eb="5">
      <t>ホイク</t>
    </rPh>
    <rPh sb="5" eb="7">
      <t>カサン</t>
    </rPh>
    <phoneticPr fontId="1"/>
  </si>
  <si>
    <t xml:space="preserve"> グループの利用子ども数（障害児除く）</t>
    <rPh sb="6" eb="8">
      <t>リヨウ</t>
    </rPh>
    <rPh sb="8" eb="9">
      <t>コ</t>
    </rPh>
    <rPh sb="11" eb="12">
      <t>スウ</t>
    </rPh>
    <rPh sb="13" eb="16">
      <t>ショウガイジ</t>
    </rPh>
    <rPh sb="16" eb="17">
      <t>ノゾ</t>
    </rPh>
    <phoneticPr fontId="1"/>
  </si>
  <si>
    <t xml:space="preserve"> 障害児</t>
    <rPh sb="1" eb="4">
      <t>ショウガイジ</t>
    </rPh>
    <phoneticPr fontId="1"/>
  </si>
  <si>
    <t>4歳以上児配置改善加算</t>
    <rPh sb="1" eb="4">
      <t>サイイジョウ</t>
    </rPh>
    <rPh sb="4" eb="5">
      <t>ジ</t>
    </rPh>
    <rPh sb="5" eb="7">
      <t>ハイチ</t>
    </rPh>
    <rPh sb="7" eb="9">
      <t>カイゼン</t>
    </rPh>
    <rPh sb="9" eb="11">
      <t>カサン</t>
    </rPh>
    <phoneticPr fontId="1"/>
  </si>
  <si>
    <t xml:space="preserve">  4歳以上児配置改善加算</t>
    <rPh sb="4" eb="6">
      <t>イジョウ</t>
    </rPh>
    <phoneticPr fontId="1"/>
  </si>
  <si>
    <t>　４歳以上児配置改善加算</t>
    <rPh sb="3" eb="5">
      <t>イジョウ</t>
    </rPh>
    <rPh sb="5" eb="6">
      <t>ジ</t>
    </rPh>
    <phoneticPr fontId="1"/>
  </si>
  <si>
    <t>分園分</t>
    <phoneticPr fontId="1"/>
  </si>
  <si>
    <t>　１歳児配置改善加算</t>
    <phoneticPr fontId="1"/>
  </si>
  <si>
    <t>　うち１歳児</t>
    <rPh sb="4" eb="6">
      <t>サイジ</t>
    </rPh>
    <phoneticPr fontId="1"/>
  </si>
  <si>
    <t xml:space="preserve">  1歳児配置改善加算</t>
    <rPh sb="3" eb="5">
      <t>サイジ</t>
    </rPh>
    <rPh sb="5" eb="7">
      <t>ハイチ</t>
    </rPh>
    <rPh sb="7" eb="9">
      <t>カイゼン</t>
    </rPh>
    <rPh sb="9" eb="11">
      <t>カサン</t>
    </rPh>
    <phoneticPr fontId="1"/>
  </si>
  <si>
    <t>実人数</t>
    <rPh sb="0" eb="3">
      <t>ジツニンズウ</t>
    </rPh>
    <phoneticPr fontId="1"/>
  </si>
  <si>
    <t>算定人数</t>
    <rPh sb="0" eb="2">
      <t>サンテイ</t>
    </rPh>
    <rPh sb="2" eb="4">
      <t>ニンズウ</t>
    </rPh>
    <phoneticPr fontId="1"/>
  </si>
  <si>
    <t>処遇改善等加算区分３　加算算定対象人数計算表（幼稚園）</t>
    <rPh sb="0" eb="2">
      <t>ショグウ</t>
    </rPh>
    <rPh sb="2" eb="4">
      <t>カイゼン</t>
    </rPh>
    <rPh sb="4" eb="5">
      <t>トウ</t>
    </rPh>
    <rPh sb="5" eb="7">
      <t>カサン</t>
    </rPh>
    <rPh sb="7" eb="9">
      <t>クブン</t>
    </rPh>
    <rPh sb="11" eb="13">
      <t>カサン</t>
    </rPh>
    <rPh sb="13" eb="15">
      <t>サンテイ</t>
    </rPh>
    <rPh sb="15" eb="17">
      <t>タイショウ</t>
    </rPh>
    <rPh sb="17" eb="19">
      <t>ニンズウ</t>
    </rPh>
    <rPh sb="19" eb="21">
      <t>ケイサン</t>
    </rPh>
    <rPh sb="21" eb="22">
      <t>オモテ</t>
    </rPh>
    <rPh sb="23" eb="26">
      <t>ヨウチエン</t>
    </rPh>
    <phoneticPr fontId="1"/>
  </si>
  <si>
    <r>
      <t>年齢別配置基準</t>
    </r>
    <r>
      <rPr>
        <sz val="11"/>
        <rFont val="HG丸ｺﾞｼｯｸM-PRO"/>
        <family val="3"/>
        <charset val="128"/>
      </rPr>
      <t>を下回る場合</t>
    </r>
    <rPh sb="0" eb="2">
      <t>ネンレイ</t>
    </rPh>
    <rPh sb="2" eb="3">
      <t>ベツ</t>
    </rPh>
    <rPh sb="3" eb="5">
      <t>ハイチ</t>
    </rPh>
    <rPh sb="5" eb="7">
      <t>キジュン</t>
    </rPh>
    <phoneticPr fontId="1"/>
  </si>
  <si>
    <t>２．加算算定対象人数（人）</t>
    <rPh sb="2" eb="4">
      <t>カサン</t>
    </rPh>
    <rPh sb="4" eb="6">
      <t>サンテイ</t>
    </rPh>
    <rPh sb="6" eb="8">
      <t>タイショウ</t>
    </rPh>
    <rPh sb="8" eb="10">
      <t>ニンズウ</t>
    </rPh>
    <rPh sb="11" eb="12">
      <t>ニン</t>
    </rPh>
    <phoneticPr fontId="1"/>
  </si>
  <si>
    <t>処遇改善等加算区分３　加算算定対象人数計算表（保育所）</t>
    <rPh sb="0" eb="2">
      <t>ショグウ</t>
    </rPh>
    <rPh sb="2" eb="5">
      <t>カイゼンナド</t>
    </rPh>
    <rPh sb="5" eb="7">
      <t>カサン</t>
    </rPh>
    <rPh sb="7" eb="9">
      <t>クブン</t>
    </rPh>
    <rPh sb="11" eb="13">
      <t>カサン</t>
    </rPh>
    <rPh sb="13" eb="15">
      <t>サンテイ</t>
    </rPh>
    <rPh sb="15" eb="17">
      <t>タイショウ</t>
    </rPh>
    <rPh sb="17" eb="19">
      <t>ニンズウ</t>
    </rPh>
    <rPh sb="19" eb="21">
      <t>ケイサン</t>
    </rPh>
    <rPh sb="21" eb="22">
      <t>ヒョウ</t>
    </rPh>
    <rPh sb="22" eb="24">
      <t>ケイサン</t>
    </rPh>
    <rPh sb="24" eb="25">
      <t>オモテホイクショ</t>
    </rPh>
    <phoneticPr fontId="1"/>
  </si>
  <si>
    <r>
      <t>保育標準時間認定の</t>
    </r>
    <r>
      <rPr>
        <sz val="11"/>
        <rFont val="HG丸ｺﾞｼｯｸM-PRO"/>
        <family val="3"/>
        <charset val="128"/>
      </rPr>
      <t>子ども</t>
    </r>
    <rPh sb="0" eb="2">
      <t>ホイク</t>
    </rPh>
    <rPh sb="2" eb="4">
      <t>ヒョウジュン</t>
    </rPh>
    <rPh sb="4" eb="6">
      <t>ジカン</t>
    </rPh>
    <rPh sb="6" eb="8">
      <t>ニンテイ</t>
    </rPh>
    <rPh sb="9" eb="10">
      <t>コ</t>
    </rPh>
    <phoneticPr fontId="1"/>
  </si>
  <si>
    <t>事務職員雇上費加算</t>
    <rPh sb="0" eb="2">
      <t>ジム</t>
    </rPh>
    <rPh sb="2" eb="4">
      <t>ショクイン</t>
    </rPh>
    <rPh sb="4" eb="5">
      <t>ヤト</t>
    </rPh>
    <rPh sb="5" eb="6">
      <t>ア</t>
    </rPh>
    <rPh sb="6" eb="7">
      <t>ヒ</t>
    </rPh>
    <rPh sb="7" eb="9">
      <t>カサン</t>
    </rPh>
    <phoneticPr fontId="1"/>
  </si>
  <si>
    <t>処遇改善等加算区分３　加算算定対象人数計算表（認定こども園）</t>
    <rPh sb="0" eb="2">
      <t>ショグウ</t>
    </rPh>
    <rPh sb="2" eb="4">
      <t>カイゼン</t>
    </rPh>
    <rPh sb="4" eb="5">
      <t>トウ</t>
    </rPh>
    <rPh sb="5" eb="7">
      <t>カサン</t>
    </rPh>
    <rPh sb="11" eb="13">
      <t>カサン</t>
    </rPh>
    <rPh sb="13" eb="15">
      <t>サンテイ</t>
    </rPh>
    <rPh sb="15" eb="17">
      <t>タイショウ</t>
    </rPh>
    <rPh sb="17" eb="19">
      <t>ニンズウ</t>
    </rPh>
    <rPh sb="19" eb="21">
      <t>ケイサン</t>
    </rPh>
    <rPh sb="21" eb="22">
      <t>ヒョウ</t>
    </rPh>
    <rPh sb="23" eb="25">
      <t>ニン</t>
    </rPh>
    <phoneticPr fontId="1"/>
  </si>
  <si>
    <t>主幹保育教諭等の専任化により子育て支援の取組を実施していない場合であって、代替保育教諭等を配置していない場合</t>
    <rPh sb="0" eb="2">
      <t>シュカン</t>
    </rPh>
    <rPh sb="2" eb="4">
      <t>ホイク</t>
    </rPh>
    <rPh sb="4" eb="6">
      <t>キョウユ</t>
    </rPh>
    <rPh sb="6" eb="7">
      <t>トウ</t>
    </rPh>
    <rPh sb="8" eb="10">
      <t>センニン</t>
    </rPh>
    <rPh sb="10" eb="11">
      <t>カ</t>
    </rPh>
    <rPh sb="14" eb="17">
      <t>コソ</t>
    </rPh>
    <rPh sb="17" eb="19">
      <t>シエン</t>
    </rPh>
    <rPh sb="20" eb="22">
      <t>トリクミ</t>
    </rPh>
    <rPh sb="23" eb="25">
      <t>ジッシ</t>
    </rPh>
    <rPh sb="30" eb="32">
      <t>バアイ</t>
    </rPh>
    <rPh sb="37" eb="39">
      <t>ダイタイ</t>
    </rPh>
    <rPh sb="39" eb="41">
      <t>ホイク</t>
    </rPh>
    <rPh sb="41" eb="43">
      <t>キョウユ</t>
    </rPh>
    <rPh sb="43" eb="44">
      <t>トウ</t>
    </rPh>
    <rPh sb="45" eb="47">
      <t>ハイチ</t>
    </rPh>
    <rPh sb="52" eb="54">
      <t>バアイ</t>
    </rPh>
    <phoneticPr fontId="1"/>
  </si>
  <si>
    <t>処遇改善等加算区分３　加算算定対象人数計算表</t>
    <rPh sb="0" eb="2">
      <t>ショグウ</t>
    </rPh>
    <rPh sb="2" eb="4">
      <t>カイゼン</t>
    </rPh>
    <rPh sb="4" eb="5">
      <t>トウ</t>
    </rPh>
    <rPh sb="5" eb="7">
      <t>カサン</t>
    </rPh>
    <rPh sb="11" eb="13">
      <t>カサン</t>
    </rPh>
    <rPh sb="13" eb="15">
      <t>サンテイ</t>
    </rPh>
    <rPh sb="15" eb="17">
      <t>タイショウ</t>
    </rPh>
    <rPh sb="17" eb="19">
      <t>ニンズウ</t>
    </rPh>
    <rPh sb="19" eb="21">
      <t>ケイサン</t>
    </rPh>
    <rPh sb="21" eb="22">
      <t>ヒョウ</t>
    </rPh>
    <phoneticPr fontId="1"/>
  </si>
  <si>
    <t>（小規模保育事業A型、Ｂ型）</t>
    <rPh sb="6" eb="8">
      <t>ジギョウ</t>
    </rPh>
    <phoneticPr fontId="1"/>
  </si>
  <si>
    <t>（事業所内保育事業　定員６人以上　小規模A型、Ｂ型適用）</t>
    <rPh sb="1" eb="4">
      <t>ジギョウショ</t>
    </rPh>
    <rPh sb="4" eb="5">
      <t>ナイ</t>
    </rPh>
    <rPh sb="10" eb="12">
      <t>テイイン</t>
    </rPh>
    <rPh sb="13" eb="14">
      <t>ニン</t>
    </rPh>
    <rPh sb="14" eb="16">
      <t>イジョウ</t>
    </rPh>
    <rPh sb="17" eb="20">
      <t>ショウキボ</t>
    </rPh>
    <rPh sb="25" eb="27">
      <t>テキヨウ</t>
    </rPh>
    <phoneticPr fontId="1"/>
  </si>
  <si>
    <t xml:space="preserve">  1歳児配置改善加算
※障害児保育加算ありの場合障害児を除いた数</t>
    <rPh sb="3" eb="5">
      <t>サイジ</t>
    </rPh>
    <rPh sb="5" eb="7">
      <t>ハイチ</t>
    </rPh>
    <rPh sb="7" eb="9">
      <t>カイゼン</t>
    </rPh>
    <rPh sb="9" eb="11">
      <t>カサン</t>
    </rPh>
    <phoneticPr fontId="1"/>
  </si>
  <si>
    <t>保育標準時間認定の子ども</t>
    <rPh sb="0" eb="2">
      <t>ホイク</t>
    </rPh>
    <rPh sb="2" eb="4">
      <t>ヒョウジュン</t>
    </rPh>
    <rPh sb="4" eb="6">
      <t>ジカン</t>
    </rPh>
    <rPh sb="6" eb="8">
      <t>ニンテイ</t>
    </rPh>
    <rPh sb="9" eb="10">
      <t>コ</t>
    </rPh>
    <phoneticPr fontId="1"/>
  </si>
  <si>
    <t>（事業所内保育事業　定員２０人以上）</t>
    <rPh sb="1" eb="4">
      <t>ジギョウショ</t>
    </rPh>
    <rPh sb="4" eb="5">
      <t>ナイ</t>
    </rPh>
    <rPh sb="10" eb="12">
      <t>テイイン</t>
    </rPh>
    <rPh sb="14" eb="17">
      <t>ニンイジョウ</t>
    </rPh>
    <phoneticPr fontId="1"/>
  </si>
  <si>
    <t>（小規模保育事業Ｃ型）</t>
    <phoneticPr fontId="1"/>
  </si>
  <si>
    <r>
      <t>利用子ども数</t>
    </r>
    <r>
      <rPr>
        <sz val="11"/>
        <color rgb="FFFF0000"/>
        <rFont val="HG丸ｺﾞｼｯｸM-PRO"/>
        <family val="3"/>
        <charset val="128"/>
      </rPr>
      <t>（特例給付対象児童含む）</t>
    </r>
    <rPh sb="0" eb="3">
      <t>リヨウコ</t>
    </rPh>
    <phoneticPr fontId="1"/>
  </si>
  <si>
    <t>　家庭的保育補助者配置</t>
    <rPh sb="1" eb="4">
      <t>カテイテキ</t>
    </rPh>
    <rPh sb="4" eb="6">
      <t>ホイク</t>
    </rPh>
    <rPh sb="6" eb="9">
      <t>ホジョシャ</t>
    </rPh>
    <rPh sb="9" eb="11">
      <t>ハイチ</t>
    </rPh>
    <phoneticPr fontId="1"/>
  </si>
  <si>
    <t>　</t>
    <phoneticPr fontId="1"/>
  </si>
  <si>
    <t>（満三歳以上限定小規模保育事業）</t>
    <rPh sb="1" eb="15">
      <t>マンサンサイイジョウゲンテイショウキボホイクジギョウ</t>
    </rPh>
    <phoneticPr fontId="1"/>
  </si>
  <si>
    <r>
      <t>４歳以上児</t>
    </r>
    <r>
      <rPr>
        <sz val="11"/>
        <color indexed="8"/>
        <rFont val="HG丸ｺﾞｼｯｸM-PRO"/>
        <family val="3"/>
        <charset val="128"/>
      </rPr>
      <t xml:space="preserve">
</t>
    </r>
    <r>
      <rPr>
        <sz val="10"/>
        <color indexed="8"/>
        <rFont val="HG丸ｺﾞｼｯｸM-PRO"/>
        <family val="3"/>
        <charset val="128"/>
      </rPr>
      <t>※障害児保育加算ありの場合障害児を除いた数</t>
    </r>
    <rPh sb="1" eb="4">
      <t>サイイジョウ</t>
    </rPh>
    <rPh sb="4" eb="5">
      <t>ジ</t>
    </rPh>
    <rPh sb="7" eb="10">
      <t>ショウガイジ</t>
    </rPh>
    <rPh sb="10" eb="12">
      <t>ホイク</t>
    </rPh>
    <rPh sb="12" eb="14">
      <t>カサン</t>
    </rPh>
    <rPh sb="17" eb="19">
      <t>バアイ</t>
    </rPh>
    <rPh sb="19" eb="22">
      <t>ショウガイジ</t>
    </rPh>
    <rPh sb="23" eb="24">
      <t>ノゾ</t>
    </rPh>
    <rPh sb="26" eb="27">
      <t>カズ</t>
    </rPh>
    <phoneticPr fontId="25"/>
  </si>
  <si>
    <r>
      <t>３歳児</t>
    </r>
    <r>
      <rPr>
        <sz val="11"/>
        <color indexed="8"/>
        <rFont val="HG丸ｺﾞｼｯｸM-PRO"/>
        <family val="3"/>
        <charset val="128"/>
      </rPr>
      <t xml:space="preserve">
</t>
    </r>
    <r>
      <rPr>
        <sz val="10"/>
        <color indexed="8"/>
        <rFont val="HG丸ｺﾞｼｯｸM-PRO"/>
        <family val="3"/>
        <charset val="128"/>
      </rPr>
      <t>※障害児保育加算ありの場合障害児を除いた数</t>
    </r>
    <rPh sb="1" eb="3">
      <t>サイジ</t>
    </rPh>
    <rPh sb="5" eb="8">
      <t>ショウガイジ</t>
    </rPh>
    <rPh sb="8" eb="10">
      <t>ホイク</t>
    </rPh>
    <rPh sb="10" eb="12">
      <t>カサン</t>
    </rPh>
    <rPh sb="15" eb="17">
      <t>バアイ</t>
    </rPh>
    <rPh sb="17" eb="20">
      <t>ショウガイジ</t>
    </rPh>
    <rPh sb="21" eb="22">
      <t>ノゾ</t>
    </rPh>
    <rPh sb="24" eb="25">
      <t>カズ</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</si>
</sst>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_);[Red]\(0.0\)"/>
    <numFmt numFmtId="178" formatCode="0.00_);[Red]\(0.00\)"/>
    <numFmt numFmtId="179" formatCode="0.000_);[Red]\(0.000\)"/>
    <numFmt numFmtId="180" formatCode="0.0_ ;[Red]\-0.0\ "/>
    <numFmt numFmtId="181" formatCode="#,##0_);[Red]\(#,##0\)"/>
  </numFmts>
  <fonts count="40">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4"/>
      <color theme="1"/>
      <name val="游ゴシック"/>
      <family val="2"/>
      <charset val="128"/>
      <scheme val="minor"/>
    </font>
    <font>
      <sz val="14"/>
      <color theme="1"/>
      <name val="HG丸ｺﾞｼｯｸM-PRO"/>
      <family val="3"/>
      <charset val="128"/>
    </font>
    <font>
      <sz val="11"/>
      <color theme="1"/>
      <name val="HG丸ｺﾞｼｯｸM-PRO"/>
      <family val="3"/>
      <charset val="128"/>
    </font>
    <font>
      <sz val="9"/>
      <color theme="1"/>
      <name val="HG丸ｺﾞｼｯｸM-PRO"/>
      <family val="3"/>
      <charset val="128"/>
    </font>
    <font>
      <sz val="11"/>
      <color theme="0"/>
      <name val="HG丸ｺﾞｼｯｸM-PRO"/>
      <family val="3"/>
      <charset val="128"/>
    </font>
    <font>
      <sz val="11"/>
      <name val="HG丸ｺﾞｼｯｸM-PRO"/>
      <family val="3"/>
      <charset val="128"/>
    </font>
    <font>
      <sz val="10"/>
      <color theme="1"/>
      <name val="HG丸ｺﾞｼｯｸM-PRO"/>
      <family val="3"/>
      <charset val="128"/>
    </font>
    <font>
      <sz val="11"/>
      <color theme="2" tint="-0.249977111117893"/>
      <name val="HG丸ｺﾞｼｯｸM-PRO"/>
      <family val="3"/>
      <charset val="128"/>
    </font>
    <font>
      <sz val="12"/>
      <color theme="1"/>
      <name val="HG丸ｺﾞｼｯｸM-PRO"/>
      <family val="3"/>
      <charset val="128"/>
    </font>
    <font>
      <sz val="16"/>
      <color theme="1"/>
      <name val="HG丸ｺﾞｼｯｸM-PRO"/>
      <family val="3"/>
      <charset val="128"/>
    </font>
    <font>
      <sz val="10"/>
      <name val="HG丸ｺﾞｼｯｸM-PRO"/>
      <family val="3"/>
      <charset val="128"/>
    </font>
    <font>
      <b/>
      <sz val="12"/>
      <color theme="1"/>
      <name val="HG丸ｺﾞｼｯｸM-PRO"/>
      <family val="3"/>
      <charset val="128"/>
    </font>
    <font>
      <b/>
      <sz val="12"/>
      <name val="HG丸ｺﾞｼｯｸM-PRO"/>
      <family val="3"/>
      <charset val="128"/>
    </font>
    <font>
      <sz val="12"/>
      <color theme="2" tint="-0.249977111117893"/>
      <name val="HG丸ｺﾞｼｯｸM-PRO"/>
      <family val="3"/>
      <charset val="128"/>
    </font>
    <font>
      <sz val="12"/>
      <color indexed="81"/>
      <name val="MS P ゴシック"/>
      <family val="3"/>
      <charset val="128"/>
    </font>
    <font>
      <sz val="11"/>
      <color theme="0" tint="-0.249977111117893"/>
      <name val="HG丸ｺﾞｼｯｸM-PRO"/>
      <family val="3"/>
      <charset val="128"/>
    </font>
    <font>
      <sz val="11"/>
      <color theme="1"/>
      <name val="游ゴシック"/>
      <family val="2"/>
      <charset val="128"/>
      <scheme val="minor"/>
    </font>
    <font>
      <sz val="11"/>
      <color theme="2" tint="-0.499984740745262"/>
      <name val="HG丸ｺﾞｼｯｸM-PRO"/>
      <family val="3"/>
      <charset val="128"/>
    </font>
    <font>
      <sz val="10"/>
      <color indexed="81"/>
      <name val="ＭＳ Ｐゴシック"/>
      <family val="3"/>
      <charset val="128"/>
    </font>
    <font>
      <b/>
      <sz val="11"/>
      <color theme="1"/>
      <name val="HG丸ｺﾞｼｯｸM-PRO"/>
      <family val="3"/>
      <charset val="128"/>
    </font>
    <font>
      <sz val="12"/>
      <color indexed="81"/>
      <name val="ＭＳ Ｐゴシック"/>
      <family val="3"/>
      <charset val="128"/>
    </font>
    <font>
      <sz val="11"/>
      <color rgb="FFFF0000"/>
      <name val="HG丸ｺﾞｼｯｸM-PRO"/>
      <family val="3"/>
      <charset val="128"/>
    </font>
    <font>
      <sz val="6"/>
      <name val="游ゴシック"/>
      <family val="3"/>
      <charset val="128"/>
    </font>
    <font>
      <sz val="11"/>
      <color indexed="10"/>
      <name val="HG丸ｺﾞｼｯｸM-PRO"/>
      <family val="3"/>
      <charset val="128"/>
    </font>
    <font>
      <sz val="11"/>
      <color indexed="8"/>
      <name val="HG丸ｺﾞｼｯｸM-PRO"/>
      <family val="3"/>
      <charset val="128"/>
    </font>
    <font>
      <sz val="10"/>
      <color indexed="8"/>
      <name val="HG丸ｺﾞｼｯｸM-PRO"/>
      <family val="3"/>
      <charset val="128"/>
    </font>
    <font>
      <sz val="11"/>
      <color indexed="81"/>
      <name val="MS P ゴシック"/>
      <family val="3"/>
      <charset val="128"/>
    </font>
    <font>
      <sz val="11"/>
      <color theme="8"/>
      <name val="HG丸ｺﾞｼｯｸM-PRO"/>
      <family val="3"/>
      <charset val="128"/>
    </font>
    <font>
      <sz val="11"/>
      <color theme="2"/>
      <name val="HG丸ｺﾞｼｯｸM-PRO"/>
      <family val="3"/>
      <charset val="128"/>
    </font>
    <font>
      <sz val="10"/>
      <color theme="2"/>
      <name val="HG丸ｺﾞｼｯｸM-PRO"/>
      <family val="3"/>
      <charset val="128"/>
    </font>
    <font>
      <sz val="16"/>
      <name val="HG丸ｺﾞｼｯｸM-PRO"/>
      <family val="3"/>
      <charset val="128"/>
    </font>
    <font>
      <b/>
      <sz val="11"/>
      <name val="HG丸ｺﾞｼｯｸM-PRO"/>
      <family val="3"/>
      <charset val="128"/>
    </font>
    <font>
      <sz val="14"/>
      <name val="HG丸ｺﾞｼｯｸM-PRO"/>
      <family val="3"/>
      <charset val="128"/>
    </font>
    <font>
      <sz val="11"/>
      <name val="游ゴシック"/>
      <family val="2"/>
      <charset val="128"/>
      <scheme val="minor"/>
    </font>
    <font>
      <sz val="9"/>
      <color indexed="81"/>
      <name val="MS P ゴシック"/>
      <family val="3"/>
      <charset val="128"/>
    </font>
    <font>
      <b/>
      <sz val="11"/>
      <name val="HG丸ｺﾞｼｯｸM-PRO"/>
      <family val="3"/>
    </font>
    <font>
      <b/>
      <sz val="11"/>
      <color theme="1"/>
      <name val="HG丸ｺﾞｼｯｸM-PRO"/>
      <family val="3"/>
    </font>
  </fonts>
  <fills count="6">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FFC000"/>
        <bgColor indexed="64"/>
      </patternFill>
    </fill>
    <fill>
      <patternFill patternType="solid">
        <fgColor rgb="FFA0FF21"/>
        <bgColor indexed="64"/>
      </patternFill>
    </fill>
  </fills>
  <borders count="1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right style="medium">
        <color indexed="64"/>
      </right>
      <top/>
      <bottom/>
      <diagonal/>
    </border>
    <border>
      <left/>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hair">
        <color indexed="64"/>
      </top>
      <bottom/>
      <diagonal/>
    </border>
    <border>
      <left style="medium">
        <color indexed="64"/>
      </left>
      <right style="medium">
        <color indexed="64"/>
      </right>
      <top/>
      <bottom style="thin">
        <color indexed="64"/>
      </bottom>
      <diagonal/>
    </border>
    <border diagonalUp="1">
      <left style="thin">
        <color indexed="64"/>
      </left>
      <right/>
      <top/>
      <bottom style="double">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double">
        <color indexed="64"/>
      </bottom>
      <diagonal/>
    </border>
    <border diagonalUp="1">
      <left style="thin">
        <color indexed="64"/>
      </left>
      <right style="medium">
        <color indexed="64"/>
      </right>
      <top style="hair">
        <color indexed="64"/>
      </top>
      <bottom style="thin">
        <color indexed="64"/>
      </bottom>
      <diagonal style="thin">
        <color indexed="64"/>
      </diagonal>
    </border>
    <border diagonalUp="1">
      <left style="thin">
        <color indexed="64"/>
      </left>
      <right/>
      <top/>
      <bottom/>
      <diagonal style="thin">
        <color indexed="64"/>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double">
        <color indexed="64"/>
      </bottom>
      <diagonal/>
    </border>
    <border>
      <left/>
      <right/>
      <top style="medium">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style="medium">
        <color indexed="64"/>
      </right>
      <top style="medium">
        <color indexed="64"/>
      </top>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diagonal/>
    </border>
    <border>
      <left/>
      <right/>
      <top/>
      <bottom style="hair">
        <color indexed="64"/>
      </bottom>
      <diagonal/>
    </border>
    <border>
      <left/>
      <right/>
      <top style="hair">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right style="thin">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double">
        <color indexed="64"/>
      </bottom>
      <diagonal/>
    </border>
    <border>
      <left/>
      <right/>
      <top style="hair">
        <color indexed="64"/>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458">
    <xf numFmtId="0" fontId="0" fillId="0" borderId="0" xfId="0">
      <alignment vertical="center"/>
    </xf>
    <xf numFmtId="176" fontId="5" fillId="5" borderId="1" xfId="0" applyNumberFormat="1" applyFont="1" applyFill="1" applyBorder="1" applyAlignment="1" applyProtection="1">
      <alignment horizontal="right" vertical="center"/>
      <protection locked="0"/>
    </xf>
    <xf numFmtId="176" fontId="5" fillId="5" borderId="89" xfId="0" applyNumberFormat="1" applyFont="1" applyFill="1" applyBorder="1" applyAlignment="1" applyProtection="1">
      <alignment horizontal="right" vertical="center"/>
      <protection locked="0"/>
    </xf>
    <xf numFmtId="0" fontId="5" fillId="4" borderId="45"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12" fillId="0" borderId="0" xfId="0" applyFont="1" applyProtection="1">
      <alignment vertical="center"/>
      <protection locked="0"/>
    </xf>
    <xf numFmtId="0" fontId="4" fillId="0" borderId="0" xfId="0" applyFont="1" applyProtection="1">
      <alignment vertical="center"/>
      <protection locked="0"/>
    </xf>
    <xf numFmtId="176" fontId="4" fillId="0" borderId="0" xfId="0" applyNumberFormat="1" applyFont="1" applyProtection="1">
      <alignment vertical="center"/>
      <protection locked="0"/>
    </xf>
    <xf numFmtId="0" fontId="3" fillId="0" borderId="0" xfId="0" applyFont="1" applyProtection="1">
      <alignment vertical="center"/>
      <protection locked="0"/>
    </xf>
    <xf numFmtId="0" fontId="5" fillId="0" borderId="0" xfId="0" applyFont="1" applyProtection="1">
      <alignment vertical="center"/>
      <protection locked="0"/>
    </xf>
    <xf numFmtId="176" fontId="5" fillId="0" borderId="0" xfId="0" applyNumberFormat="1"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14" fillId="0" borderId="0" xfId="0" applyFont="1" applyProtection="1">
      <alignment vertical="center"/>
      <protection locked="0"/>
    </xf>
    <xf numFmtId="0" fontId="5" fillId="0" borderId="2" xfId="0" applyFont="1" applyBorder="1" applyAlignment="1" applyProtection="1">
      <alignment horizontal="center" vertical="center" wrapText="1"/>
      <protection locked="0"/>
    </xf>
    <xf numFmtId="0" fontId="5" fillId="0" borderId="0" xfId="0" applyFont="1" applyAlignment="1" applyProtection="1">
      <alignment horizontal="left" vertical="center"/>
      <protection locked="0"/>
    </xf>
    <xf numFmtId="176" fontId="5" fillId="0" borderId="0" xfId="0" applyNumberFormat="1" applyFont="1" applyAlignment="1" applyProtection="1">
      <alignment horizontal="right" vertical="center"/>
      <protection locked="0"/>
    </xf>
    <xf numFmtId="0" fontId="5" fillId="0" borderId="5" xfId="0" applyFont="1" applyBorder="1" applyProtection="1">
      <alignment vertical="center"/>
      <protection locked="0"/>
    </xf>
    <xf numFmtId="0" fontId="5" fillId="0" borderId="4" xfId="0" applyFont="1" applyBorder="1" applyAlignment="1" applyProtection="1">
      <alignment horizontal="center" vertical="center" wrapText="1"/>
      <protection locked="0"/>
    </xf>
    <xf numFmtId="176" fontId="5" fillId="0" borderId="19" xfId="0" applyNumberFormat="1" applyFont="1" applyBorder="1" applyAlignment="1" applyProtection="1">
      <alignment horizontal="center" vertical="center" wrapText="1"/>
      <protection locked="0"/>
    </xf>
    <xf numFmtId="0" fontId="5" fillId="0" borderId="8" xfId="0" applyFont="1" applyBorder="1" applyAlignment="1" applyProtection="1">
      <alignment horizontal="right" vertical="center"/>
      <protection locked="0"/>
    </xf>
    <xf numFmtId="0" fontId="5" fillId="0" borderId="6" xfId="0" applyFont="1" applyBorder="1" applyProtection="1">
      <alignment vertical="center"/>
      <protection locked="0"/>
    </xf>
    <xf numFmtId="176" fontId="5" fillId="0" borderId="20" xfId="0" applyNumberFormat="1" applyFont="1" applyBorder="1" applyProtection="1">
      <alignment vertical="center"/>
      <protection locked="0"/>
    </xf>
    <xf numFmtId="0" fontId="5" fillId="0" borderId="23" xfId="0" applyFont="1" applyBorder="1" applyAlignment="1" applyProtection="1">
      <alignment horizontal="right" vertical="center"/>
      <protection locked="0"/>
    </xf>
    <xf numFmtId="0" fontId="5" fillId="0" borderId="34" xfId="0" applyFont="1" applyBorder="1" applyProtection="1">
      <alignment vertical="center"/>
      <protection locked="0"/>
    </xf>
    <xf numFmtId="0" fontId="6" fillId="0" borderId="0" xfId="0" applyFont="1" applyAlignment="1" applyProtection="1">
      <alignment horizontal="left" vertical="center"/>
      <protection locked="0"/>
    </xf>
    <xf numFmtId="0" fontId="5" fillId="0" borderId="14" xfId="0" applyFont="1" applyBorder="1" applyAlignment="1" applyProtection="1">
      <alignment horizontal="right" vertical="center"/>
      <protection locked="0"/>
    </xf>
    <xf numFmtId="0" fontId="5" fillId="0" borderId="7" xfId="0" applyFont="1" applyBorder="1" applyProtection="1">
      <alignment vertical="center"/>
      <protection locked="0"/>
    </xf>
    <xf numFmtId="176" fontId="5" fillId="0" borderId="21" xfId="0" applyNumberFormat="1" applyFont="1" applyBorder="1" applyAlignment="1" applyProtection="1">
      <alignment horizontal="right" vertical="center"/>
      <protection locked="0"/>
    </xf>
    <xf numFmtId="0" fontId="5" fillId="0" borderId="5" xfId="0" applyFont="1" applyBorder="1" applyAlignment="1" applyProtection="1">
      <alignment horizontal="right" vertical="center"/>
      <protection locked="0"/>
    </xf>
    <xf numFmtId="176" fontId="6" fillId="0" borderId="19" xfId="0" applyNumberFormat="1" applyFont="1" applyBorder="1" applyProtection="1">
      <alignment vertical="center"/>
      <protection locked="0"/>
    </xf>
    <xf numFmtId="0" fontId="5" fillId="0" borderId="5" xfId="0" applyFont="1" applyBorder="1" applyAlignment="1" applyProtection="1">
      <alignment horizontal="center" vertical="center"/>
      <protection locked="0"/>
    </xf>
    <xf numFmtId="0" fontId="5" fillId="0" borderId="85" xfId="0" applyFont="1" applyBorder="1" applyProtection="1">
      <alignment vertical="center"/>
      <protection locked="0"/>
    </xf>
    <xf numFmtId="0" fontId="5" fillId="0" borderId="86" xfId="0" applyFont="1" applyBorder="1" applyProtection="1">
      <alignment vertical="center"/>
      <protection locked="0"/>
    </xf>
    <xf numFmtId="0" fontId="5" fillId="0" borderId="88" xfId="0" applyFont="1" applyBorder="1" applyProtection="1">
      <alignment vertical="center"/>
      <protection locked="0"/>
    </xf>
    <xf numFmtId="176" fontId="5" fillId="0" borderId="79" xfId="0" applyNumberFormat="1" applyFont="1" applyBorder="1" applyAlignment="1" applyProtection="1">
      <alignment horizontal="right" vertical="center"/>
      <protection locked="0"/>
    </xf>
    <xf numFmtId="0" fontId="8" fillId="0" borderId="14" xfId="0" applyFont="1" applyBorder="1" applyProtection="1">
      <alignment vertical="center"/>
      <protection locked="0"/>
    </xf>
    <xf numFmtId="176" fontId="5" fillId="0" borderId="15" xfId="0" applyNumberFormat="1" applyFont="1" applyBorder="1" applyProtection="1">
      <alignment vertical="center"/>
      <protection locked="0"/>
    </xf>
    <xf numFmtId="0" fontId="15" fillId="0" borderId="10" xfId="0" applyFont="1" applyBorder="1" applyProtection="1">
      <alignment vertical="center"/>
      <protection locked="0"/>
    </xf>
    <xf numFmtId="0" fontId="11" fillId="0" borderId="13" xfId="0" applyFont="1" applyBorder="1" applyProtection="1">
      <alignment vertical="center"/>
      <protection locked="0"/>
    </xf>
    <xf numFmtId="176" fontId="11" fillId="0" borderId="9" xfId="0" applyNumberFormat="1" applyFont="1" applyBorder="1" applyProtection="1">
      <alignment vertical="center"/>
      <protection locked="0"/>
    </xf>
    <xf numFmtId="0" fontId="8" fillId="0" borderId="0" xfId="0" applyFont="1" applyProtection="1">
      <alignment vertical="center"/>
      <protection locked="0"/>
    </xf>
    <xf numFmtId="176" fontId="10" fillId="0" borderId="0" xfId="0" applyNumberFormat="1" applyFont="1" applyProtection="1">
      <alignment vertical="center"/>
      <protection locked="0"/>
    </xf>
    <xf numFmtId="177" fontId="5" fillId="0" borderId="0" xfId="0" applyNumberFormat="1" applyFont="1" applyProtection="1">
      <alignment vertical="center"/>
      <protection locked="0"/>
    </xf>
    <xf numFmtId="176" fontId="6" fillId="0" borderId="0" xfId="0" applyNumberFormat="1" applyFont="1" applyProtection="1">
      <alignment vertical="center"/>
      <protection locked="0"/>
    </xf>
    <xf numFmtId="0" fontId="14" fillId="0" borderId="78" xfId="0" applyFont="1" applyBorder="1" applyProtection="1">
      <alignment vertical="center"/>
      <protection locked="0"/>
    </xf>
    <xf numFmtId="0" fontId="14" fillId="0" borderId="13" xfId="0" applyFont="1" applyBorder="1" applyProtection="1">
      <alignment vertical="center"/>
      <protection locked="0"/>
    </xf>
    <xf numFmtId="178" fontId="10" fillId="2" borderId="1" xfId="0" applyNumberFormat="1" applyFont="1" applyFill="1" applyBorder="1" applyProtection="1">
      <alignment vertical="center"/>
      <protection locked="0"/>
    </xf>
    <xf numFmtId="0" fontId="14" fillId="0" borderId="57" xfId="0" applyFont="1" applyBorder="1" applyProtection="1">
      <alignment vertical="center"/>
      <protection locked="0"/>
    </xf>
    <xf numFmtId="0" fontId="14" fillId="0" borderId="10" xfId="0" applyFont="1" applyBorder="1" applyProtection="1">
      <alignment vertical="center"/>
      <protection locked="0"/>
    </xf>
    <xf numFmtId="38" fontId="14" fillId="0" borderId="13" xfId="1" applyFont="1" applyBorder="1" applyProtection="1">
      <alignment vertical="center"/>
      <protection locked="0"/>
    </xf>
    <xf numFmtId="176" fontId="22" fillId="0" borderId="13" xfId="0" applyNumberFormat="1" applyFont="1" applyBorder="1" applyProtection="1">
      <alignment vertical="center"/>
      <protection locked="0"/>
    </xf>
    <xf numFmtId="0" fontId="14" fillId="0" borderId="90" xfId="0" applyFont="1" applyBorder="1" applyProtection="1">
      <alignment vertical="center"/>
      <protection locked="0"/>
    </xf>
    <xf numFmtId="38" fontId="14" fillId="0" borderId="91" xfId="1" applyFont="1" applyBorder="1" applyProtection="1">
      <alignment vertical="center"/>
      <protection locked="0"/>
    </xf>
    <xf numFmtId="0" fontId="14" fillId="0" borderId="91" xfId="0" applyFont="1" applyBorder="1" applyProtection="1">
      <alignment vertical="center"/>
      <protection locked="0"/>
    </xf>
    <xf numFmtId="176" fontId="22" fillId="0" borderId="91" xfId="0" applyNumberFormat="1" applyFont="1" applyBorder="1" applyProtection="1">
      <alignment vertical="center"/>
      <protection locked="0"/>
    </xf>
    <xf numFmtId="0" fontId="22" fillId="0" borderId="57" xfId="0" applyFont="1" applyBorder="1" applyProtection="1">
      <alignment vertical="center"/>
      <protection locked="0"/>
    </xf>
    <xf numFmtId="0" fontId="14" fillId="0" borderId="62" xfId="0" applyFont="1" applyBorder="1" applyAlignment="1" applyProtection="1">
      <alignment horizontal="right" vertical="center"/>
      <protection locked="0"/>
    </xf>
    <xf numFmtId="0" fontId="22" fillId="0" borderId="62" xfId="0" applyFont="1" applyBorder="1" applyProtection="1">
      <alignment vertical="center"/>
      <protection locked="0"/>
    </xf>
    <xf numFmtId="176" fontId="22" fillId="0" borderId="62" xfId="0" applyNumberFormat="1" applyFont="1" applyBorder="1" applyProtection="1">
      <alignment vertical="center"/>
      <protection locked="0"/>
    </xf>
    <xf numFmtId="176" fontId="5" fillId="0" borderId="27" xfId="0" applyNumberFormat="1" applyFont="1" applyBorder="1">
      <alignment vertical="center"/>
    </xf>
    <xf numFmtId="177" fontId="7" fillId="0" borderId="20" xfId="0" applyNumberFormat="1" applyFont="1" applyBorder="1">
      <alignment vertical="center"/>
    </xf>
    <xf numFmtId="178" fontId="10" fillId="2" borderId="37" xfId="0" applyNumberFormat="1" applyFont="1" applyFill="1" applyBorder="1">
      <alignment vertical="center"/>
    </xf>
    <xf numFmtId="177" fontId="13" fillId="3" borderId="38" xfId="0" applyNumberFormat="1" applyFont="1" applyFill="1" applyBorder="1">
      <alignment vertical="center"/>
    </xf>
    <xf numFmtId="178" fontId="10" fillId="2" borderId="46" xfId="0" applyNumberFormat="1" applyFont="1" applyFill="1" applyBorder="1">
      <alignment vertical="center"/>
    </xf>
    <xf numFmtId="177" fontId="13" fillId="3" borderId="47" xfId="0" applyNumberFormat="1" applyFont="1" applyFill="1" applyBorder="1">
      <alignment vertical="center"/>
    </xf>
    <xf numFmtId="179" fontId="10" fillId="0" borderId="28" xfId="0" applyNumberFormat="1" applyFont="1" applyBorder="1">
      <alignment vertical="center"/>
    </xf>
    <xf numFmtId="177" fontId="8" fillId="3" borderId="21" xfId="0" applyNumberFormat="1" applyFont="1" applyFill="1" applyBorder="1">
      <alignment vertical="center"/>
    </xf>
    <xf numFmtId="176" fontId="10" fillId="0" borderId="26" xfId="0" applyNumberFormat="1" applyFont="1" applyBorder="1">
      <alignment vertical="center"/>
    </xf>
    <xf numFmtId="177" fontId="5" fillId="3" borderId="19" xfId="0" applyNumberFormat="1" applyFont="1" applyFill="1" applyBorder="1">
      <alignment vertical="center"/>
    </xf>
    <xf numFmtId="180" fontId="5" fillId="3" borderId="19" xfId="0" applyNumberFormat="1" applyFont="1" applyFill="1" applyBorder="1">
      <alignment vertical="center"/>
    </xf>
    <xf numFmtId="176" fontId="5" fillId="0" borderId="87" xfId="0" applyNumberFormat="1" applyFont="1" applyBorder="1">
      <alignment vertical="center"/>
    </xf>
    <xf numFmtId="177" fontId="5" fillId="3" borderId="79" xfId="0" applyNumberFormat="1" applyFont="1" applyFill="1" applyBorder="1">
      <alignment vertical="center"/>
    </xf>
    <xf numFmtId="176" fontId="10" fillId="0" borderId="18" xfId="0" applyNumberFormat="1" applyFont="1" applyBorder="1">
      <alignment vertical="center"/>
    </xf>
    <xf numFmtId="177" fontId="8" fillId="3" borderId="15" xfId="0" applyNumberFormat="1" applyFont="1" applyFill="1" applyBorder="1">
      <alignment vertical="center"/>
    </xf>
    <xf numFmtId="176" fontId="16" fillId="0" borderId="10" xfId="0" applyNumberFormat="1" applyFont="1" applyBorder="1">
      <alignment vertical="center"/>
    </xf>
    <xf numFmtId="177" fontId="14" fillId="3" borderId="9" xfId="0" applyNumberFormat="1" applyFont="1" applyFill="1" applyBorder="1">
      <alignment vertical="center"/>
    </xf>
    <xf numFmtId="176" fontId="10" fillId="0" borderId="0" xfId="0" applyNumberFormat="1" applyFont="1">
      <alignment vertical="center"/>
    </xf>
    <xf numFmtId="177" fontId="5" fillId="0" borderId="0" xfId="0" applyNumberFormat="1" applyFont="1">
      <alignment vertical="center"/>
    </xf>
    <xf numFmtId="176" fontId="5" fillId="0" borderId="0" xfId="0" applyNumberFormat="1" applyFont="1">
      <alignment vertical="center"/>
    </xf>
    <xf numFmtId="178" fontId="10" fillId="2" borderId="1" xfId="0" applyNumberFormat="1" applyFont="1" applyFill="1" applyBorder="1">
      <alignment vertical="center"/>
    </xf>
    <xf numFmtId="176" fontId="15" fillId="3" borderId="1" xfId="0" applyNumberFormat="1" applyFont="1" applyFill="1" applyBorder="1">
      <alignment vertical="center"/>
    </xf>
    <xf numFmtId="176" fontId="22" fillId="0" borderId="13" xfId="0" applyNumberFormat="1" applyFont="1" applyBorder="1">
      <alignment vertical="center"/>
    </xf>
    <xf numFmtId="176" fontId="22" fillId="0" borderId="91" xfId="0" applyNumberFormat="1" applyFont="1" applyBorder="1">
      <alignment vertical="center"/>
    </xf>
    <xf numFmtId="176" fontId="22" fillId="0" borderId="62" xfId="0" applyNumberFormat="1" applyFont="1" applyBorder="1">
      <alignment vertical="center"/>
    </xf>
    <xf numFmtId="0" fontId="5" fillId="0" borderId="17" xfId="0" applyFont="1" applyBorder="1" applyProtection="1">
      <alignment vertical="center"/>
      <protection locked="0"/>
    </xf>
    <xf numFmtId="0" fontId="5" fillId="0" borderId="8" xfId="0" applyFont="1" applyBorder="1" applyProtection="1">
      <alignment vertical="center"/>
      <protection locked="0"/>
    </xf>
    <xf numFmtId="0" fontId="5" fillId="4" borderId="41" xfId="0" applyFont="1" applyFill="1" applyBorder="1" applyAlignment="1" applyProtection="1">
      <alignment horizontal="center" vertical="center"/>
      <protection locked="0"/>
    </xf>
    <xf numFmtId="0" fontId="5" fillId="4" borderId="54" xfId="0" applyFont="1" applyFill="1" applyBorder="1" applyAlignment="1" applyProtection="1">
      <alignment horizontal="center" vertical="center"/>
      <protection locked="0"/>
    </xf>
    <xf numFmtId="176" fontId="5" fillId="0" borderId="15" xfId="0" applyNumberFormat="1" applyFont="1" applyBorder="1" applyAlignment="1" applyProtection="1">
      <alignment horizontal="right" vertical="center"/>
      <protection locked="0"/>
    </xf>
    <xf numFmtId="0" fontId="5" fillId="0" borderId="45" xfId="0" applyFont="1" applyBorder="1" applyProtection="1">
      <alignment vertical="center"/>
      <protection locked="0"/>
    </xf>
    <xf numFmtId="0" fontId="5" fillId="0" borderId="24" xfId="0" applyFont="1" applyBorder="1" applyProtection="1">
      <alignment vertical="center"/>
      <protection locked="0"/>
    </xf>
    <xf numFmtId="0" fontId="5" fillId="0" borderId="29" xfId="0" applyFont="1" applyBorder="1" applyAlignment="1" applyProtection="1">
      <alignment horizontal="right" vertical="center"/>
      <protection locked="0"/>
    </xf>
    <xf numFmtId="0" fontId="5" fillId="4" borderId="31" xfId="0" applyFont="1" applyFill="1" applyBorder="1" applyAlignment="1" applyProtection="1">
      <alignment horizontal="center" vertical="center"/>
      <protection locked="0"/>
    </xf>
    <xf numFmtId="176" fontId="6" fillId="0" borderId="33" xfId="0" applyNumberFormat="1" applyFont="1" applyBorder="1" applyProtection="1">
      <alignment vertical="center"/>
      <protection locked="0"/>
    </xf>
    <xf numFmtId="0" fontId="5" fillId="0" borderId="39" xfId="0" applyFont="1" applyBorder="1" applyAlignment="1" applyProtection="1">
      <alignment horizontal="center" vertical="center"/>
      <protection locked="0"/>
    </xf>
    <xf numFmtId="176" fontId="6" fillId="0" borderId="94" xfId="0" applyNumberFormat="1" applyFont="1" applyBorder="1" applyProtection="1">
      <alignment vertical="center"/>
      <protection locked="0"/>
    </xf>
    <xf numFmtId="178" fontId="10" fillId="0" borderId="0" xfId="0" applyNumberFormat="1" applyFont="1" applyProtection="1">
      <alignment vertical="center"/>
      <protection locked="0"/>
    </xf>
    <xf numFmtId="178" fontId="5" fillId="0" borderId="0" xfId="0" applyNumberFormat="1" applyFont="1" applyProtection="1">
      <alignment vertical="center"/>
      <protection locked="0"/>
    </xf>
    <xf numFmtId="176" fontId="5" fillId="0" borderId="13" xfId="0" applyNumberFormat="1" applyFont="1" applyBorder="1" applyProtection="1">
      <alignment vertical="center"/>
      <protection locked="0"/>
    </xf>
    <xf numFmtId="0" fontId="11" fillId="0" borderId="91" xfId="0" applyFont="1" applyBorder="1" applyProtection="1">
      <alignment vertical="center"/>
      <protection locked="0"/>
    </xf>
    <xf numFmtId="176" fontId="5" fillId="0" borderId="91" xfId="0" applyNumberFormat="1" applyFont="1" applyBorder="1" applyProtection="1">
      <alignment vertical="center"/>
      <protection locked="0"/>
    </xf>
    <xf numFmtId="178" fontId="10" fillId="2" borderId="32" xfId="0" applyNumberFormat="1" applyFont="1" applyFill="1" applyBorder="1">
      <alignment vertical="center"/>
    </xf>
    <xf numFmtId="177" fontId="13" fillId="3" borderId="33" xfId="0" applyNumberFormat="1" applyFont="1" applyFill="1" applyBorder="1">
      <alignment vertical="center"/>
    </xf>
    <xf numFmtId="178" fontId="10" fillId="0" borderId="42" xfId="0" applyNumberFormat="1" applyFont="1" applyBorder="1">
      <alignment vertical="center"/>
    </xf>
    <xf numFmtId="177" fontId="13" fillId="0" borderId="94" xfId="0" applyNumberFormat="1" applyFont="1" applyBorder="1">
      <alignment vertical="center"/>
    </xf>
    <xf numFmtId="178" fontId="10" fillId="0" borderId="55" xfId="0" applyNumberFormat="1" applyFont="1" applyBorder="1">
      <alignment vertical="center"/>
    </xf>
    <xf numFmtId="177" fontId="13" fillId="0" borderId="56" xfId="0" applyNumberFormat="1" applyFont="1" applyBorder="1">
      <alignment vertical="center"/>
    </xf>
    <xf numFmtId="178" fontId="10" fillId="2" borderId="55" xfId="0" applyNumberFormat="1" applyFont="1" applyFill="1" applyBorder="1">
      <alignment vertical="center"/>
    </xf>
    <xf numFmtId="177" fontId="13" fillId="3" borderId="56" xfId="0" applyNumberFormat="1" applyFont="1" applyFill="1" applyBorder="1">
      <alignment vertical="center"/>
    </xf>
    <xf numFmtId="178" fontId="10" fillId="0" borderId="28" xfId="0" applyNumberFormat="1" applyFont="1" applyBorder="1">
      <alignment vertical="center"/>
    </xf>
    <xf numFmtId="178" fontId="10" fillId="0" borderId="32" xfId="0" applyNumberFormat="1" applyFont="1" applyBorder="1">
      <alignment vertical="center"/>
    </xf>
    <xf numFmtId="177" fontId="5" fillId="3" borderId="33" xfId="0" applyNumberFormat="1" applyFont="1" applyFill="1" applyBorder="1">
      <alignment vertical="center"/>
    </xf>
    <xf numFmtId="180" fontId="5" fillId="3" borderId="94" xfId="0" applyNumberFormat="1" applyFont="1" applyFill="1" applyBorder="1">
      <alignment vertical="center"/>
    </xf>
    <xf numFmtId="177" fontId="5" fillId="0" borderId="79" xfId="0" applyNumberFormat="1" applyFont="1" applyBorder="1">
      <alignment vertical="center"/>
    </xf>
    <xf numFmtId="178" fontId="10" fillId="0" borderId="18" xfId="0" applyNumberFormat="1" applyFont="1" applyBorder="1">
      <alignment vertical="center"/>
    </xf>
    <xf numFmtId="178" fontId="16" fillId="0" borderId="10" xfId="0" applyNumberFormat="1" applyFont="1" applyBorder="1">
      <alignment vertical="center"/>
    </xf>
    <xf numFmtId="0" fontId="5" fillId="4" borderId="34" xfId="0" applyFont="1" applyFill="1" applyBorder="1" applyAlignment="1" applyProtection="1">
      <alignment horizontal="center" vertical="center"/>
      <protection locked="0"/>
    </xf>
    <xf numFmtId="0" fontId="5" fillId="0" borderId="49" xfId="0" applyFont="1" applyBorder="1" applyProtection="1">
      <alignment vertical="center"/>
      <protection locked="0"/>
    </xf>
    <xf numFmtId="176" fontId="5" fillId="0" borderId="52" xfId="0" applyNumberFormat="1" applyFont="1" applyBorder="1" applyAlignment="1" applyProtection="1">
      <alignment horizontal="right" vertical="center"/>
      <protection locked="0"/>
    </xf>
    <xf numFmtId="0" fontId="15" fillId="0" borderId="10"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176" fontId="11" fillId="0" borderId="9" xfId="0" applyNumberFormat="1" applyFont="1" applyBorder="1" applyAlignment="1" applyProtection="1">
      <alignment horizontal="left" vertical="center"/>
      <protection locked="0"/>
    </xf>
    <xf numFmtId="179" fontId="10" fillId="0" borderId="51" xfId="0" applyNumberFormat="1" applyFont="1" applyBorder="1">
      <alignment vertical="center"/>
    </xf>
    <xf numFmtId="177" fontId="13" fillId="3" borderId="52" xfId="0" applyNumberFormat="1" applyFont="1" applyFill="1" applyBorder="1">
      <alignment vertical="center"/>
    </xf>
    <xf numFmtId="0" fontId="2" fillId="0" borderId="0" xfId="0" applyFont="1" applyProtection="1">
      <alignment vertical="center"/>
      <protection locked="0"/>
    </xf>
    <xf numFmtId="0" fontId="5" fillId="0" borderId="1" xfId="0" applyFont="1" applyBorder="1" applyAlignment="1" applyProtection="1">
      <alignment horizontal="center" vertical="center" wrapText="1"/>
      <protection locked="0"/>
    </xf>
    <xf numFmtId="0" fontId="5" fillId="0" borderId="8"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35" xfId="0" applyFont="1" applyBorder="1" applyProtection="1">
      <alignment vertical="center"/>
      <protection locked="0"/>
    </xf>
    <xf numFmtId="0" fontId="5" fillId="5" borderId="100" xfId="0" applyFont="1" applyFill="1" applyBorder="1" applyAlignment="1" applyProtection="1">
      <alignment horizontal="right" vertical="center"/>
      <protection locked="0"/>
    </xf>
    <xf numFmtId="0" fontId="5" fillId="5" borderId="67" xfId="0" applyFont="1" applyFill="1" applyBorder="1" applyAlignment="1" applyProtection="1">
      <alignment horizontal="right" vertical="center"/>
      <protection locked="0"/>
    </xf>
    <xf numFmtId="0" fontId="5" fillId="0" borderId="75" xfId="0" applyFont="1" applyBorder="1" applyAlignment="1" applyProtection="1">
      <alignment horizontal="left" vertical="center"/>
      <protection locked="0"/>
    </xf>
    <xf numFmtId="0" fontId="5" fillId="0" borderId="35" xfId="0" applyFont="1" applyBorder="1" applyAlignment="1" applyProtection="1">
      <alignment horizontal="left" vertical="center"/>
      <protection locked="0"/>
    </xf>
    <xf numFmtId="0" fontId="5" fillId="0" borderId="40" xfId="0" applyFont="1" applyBorder="1" applyProtection="1">
      <alignment vertical="center"/>
      <protection locked="0"/>
    </xf>
    <xf numFmtId="0" fontId="5" fillId="5" borderId="77" xfId="0" applyFont="1" applyFill="1" applyBorder="1" applyAlignment="1" applyProtection="1">
      <alignment horizontal="right" vertical="center"/>
      <protection locked="0"/>
    </xf>
    <xf numFmtId="0" fontId="5" fillId="0" borderId="0" xfId="0" applyFont="1" applyAlignment="1" applyProtection="1">
      <alignment vertical="center" wrapText="1"/>
      <protection locked="0"/>
    </xf>
    <xf numFmtId="0" fontId="5" fillId="0" borderId="16" xfId="0" applyFont="1" applyBorder="1" applyProtection="1">
      <alignment vertical="center"/>
      <protection locked="0"/>
    </xf>
    <xf numFmtId="0" fontId="5" fillId="0" borderId="29" xfId="0" applyFont="1" applyBorder="1" applyProtection="1">
      <alignment vertical="center"/>
      <protection locked="0"/>
    </xf>
    <xf numFmtId="176" fontId="5" fillId="0" borderId="35" xfId="0" applyNumberFormat="1" applyFont="1" applyBorder="1" applyProtection="1">
      <alignment vertical="center"/>
      <protection locked="0"/>
    </xf>
    <xf numFmtId="0" fontId="5" fillId="0" borderId="36" xfId="0" applyFont="1" applyBorder="1" applyProtection="1">
      <alignment vertical="center"/>
      <protection locked="0"/>
    </xf>
    <xf numFmtId="176" fontId="20" fillId="0" borderId="96" xfId="0" applyNumberFormat="1" applyFont="1" applyBorder="1" applyAlignment="1" applyProtection="1">
      <alignment horizontal="right" vertical="center"/>
      <protection locked="0"/>
    </xf>
    <xf numFmtId="0" fontId="5" fillId="0" borderId="53" xfId="0" applyFont="1" applyBorder="1" applyProtection="1">
      <alignment vertical="center"/>
      <protection locked="0"/>
    </xf>
    <xf numFmtId="0" fontId="5" fillId="0" borderId="11" xfId="0" applyFont="1" applyBorder="1" applyProtection="1">
      <alignment vertical="center"/>
      <protection locked="0"/>
    </xf>
    <xf numFmtId="0" fontId="5" fillId="0" borderId="16" xfId="0" applyFont="1" applyBorder="1" applyAlignment="1" applyProtection="1">
      <alignment horizontal="left" vertical="center"/>
      <protection locked="0"/>
    </xf>
    <xf numFmtId="176" fontId="6" fillId="0" borderId="4" xfId="0" applyNumberFormat="1" applyFont="1" applyBorder="1" applyProtection="1">
      <alignment vertical="center"/>
      <protection locked="0"/>
    </xf>
    <xf numFmtId="176" fontId="6" fillId="0" borderId="20" xfId="0" applyNumberFormat="1" applyFont="1" applyBorder="1" applyProtection="1">
      <alignment vertical="center"/>
      <protection locked="0"/>
    </xf>
    <xf numFmtId="0" fontId="5" fillId="4" borderId="5" xfId="0" applyFont="1" applyFill="1" applyBorder="1" applyAlignment="1" applyProtection="1">
      <alignment horizontal="center" vertical="center"/>
      <protection locked="0"/>
    </xf>
    <xf numFmtId="176" fontId="6" fillId="0" borderId="21" xfId="0" applyNumberFormat="1" applyFont="1" applyBorder="1" applyProtection="1">
      <alignment vertical="center"/>
      <protection locked="0"/>
    </xf>
    <xf numFmtId="181" fontId="5" fillId="5" borderId="1" xfId="0" applyNumberFormat="1" applyFont="1" applyFill="1" applyBorder="1" applyAlignment="1" applyProtection="1">
      <alignment horizontal="right" vertical="center"/>
      <protection locked="0"/>
    </xf>
    <xf numFmtId="0" fontId="5" fillId="0" borderId="85" xfId="0" applyFont="1" applyBorder="1" applyAlignment="1" applyProtection="1">
      <alignment horizontal="left" vertical="center"/>
      <protection locked="0"/>
    </xf>
    <xf numFmtId="0" fontId="5" fillId="0" borderId="86" xfId="0" applyFont="1" applyBorder="1" applyAlignment="1" applyProtection="1">
      <alignment horizontal="left" vertical="center"/>
      <protection locked="0"/>
    </xf>
    <xf numFmtId="0" fontId="5" fillId="0" borderId="86" xfId="0" applyFont="1" applyBorder="1" applyAlignment="1" applyProtection="1">
      <alignment horizontal="center" vertical="center"/>
      <protection locked="0"/>
    </xf>
    <xf numFmtId="176" fontId="6" fillId="0" borderId="52" xfId="0" applyNumberFormat="1" applyFont="1" applyBorder="1" applyProtection="1">
      <alignment vertical="center"/>
      <protection locked="0"/>
    </xf>
    <xf numFmtId="176" fontId="5" fillId="0" borderId="62" xfId="0" applyNumberFormat="1" applyFont="1" applyBorder="1" applyProtection="1">
      <alignment vertical="center"/>
      <protection locked="0"/>
    </xf>
    <xf numFmtId="38" fontId="14" fillId="0" borderId="10" xfId="1" applyFont="1" applyBorder="1" applyProtection="1">
      <alignment vertical="center"/>
      <protection locked="0"/>
    </xf>
    <xf numFmtId="38" fontId="14" fillId="0" borderId="13" xfId="1" applyFont="1" applyFill="1" applyBorder="1" applyProtection="1">
      <alignment vertical="center"/>
      <protection locked="0"/>
    </xf>
    <xf numFmtId="38" fontId="22" fillId="0" borderId="13" xfId="1" applyFont="1" applyBorder="1" applyProtection="1">
      <alignment vertical="center"/>
      <protection locked="0"/>
    </xf>
    <xf numFmtId="38" fontId="14" fillId="0" borderId="90" xfId="1" applyFont="1" applyBorder="1" applyProtection="1">
      <alignment vertical="center"/>
      <protection locked="0"/>
    </xf>
    <xf numFmtId="38" fontId="14" fillId="0" borderId="91" xfId="1" applyFont="1" applyFill="1" applyBorder="1" applyProtection="1">
      <alignment vertical="center"/>
      <protection locked="0"/>
    </xf>
    <xf numFmtId="38" fontId="22" fillId="0" borderId="91" xfId="1" applyFont="1" applyBorder="1" applyProtection="1">
      <alignment vertical="center"/>
      <protection locked="0"/>
    </xf>
    <xf numFmtId="38" fontId="22" fillId="0" borderId="57" xfId="1" applyFont="1" applyBorder="1" applyProtection="1">
      <alignment vertical="center"/>
      <protection locked="0"/>
    </xf>
    <xf numFmtId="38" fontId="14" fillId="0" borderId="62" xfId="1" applyFont="1" applyBorder="1" applyAlignment="1" applyProtection="1">
      <alignment horizontal="center" vertical="center"/>
      <protection locked="0"/>
    </xf>
    <xf numFmtId="38" fontId="22" fillId="0" borderId="62" xfId="1" applyFont="1" applyBorder="1" applyProtection="1">
      <alignment vertical="center"/>
      <protection locked="0"/>
    </xf>
    <xf numFmtId="176" fontId="5" fillId="2" borderId="101" xfId="0" applyNumberFormat="1" applyFont="1" applyFill="1" applyBorder="1" applyAlignment="1">
      <alignment horizontal="right" vertical="center"/>
    </xf>
    <xf numFmtId="0" fontId="5" fillId="2" borderId="101" xfId="0" applyFont="1" applyFill="1" applyBorder="1" applyAlignment="1">
      <alignment horizontal="right" vertical="center"/>
    </xf>
    <xf numFmtId="176" fontId="20" fillId="2" borderId="95" xfId="0" applyNumberFormat="1" applyFont="1" applyFill="1" applyBorder="1" applyAlignment="1">
      <alignment horizontal="right" vertical="center"/>
    </xf>
    <xf numFmtId="176" fontId="20" fillId="2" borderId="96" xfId="0" applyNumberFormat="1" applyFont="1" applyFill="1" applyBorder="1" applyAlignment="1">
      <alignment horizontal="right" vertical="center"/>
    </xf>
    <xf numFmtId="176" fontId="20" fillId="2" borderId="99" xfId="0" applyNumberFormat="1" applyFont="1" applyFill="1" applyBorder="1" applyAlignment="1">
      <alignment horizontal="right" vertical="center"/>
    </xf>
    <xf numFmtId="176" fontId="20" fillId="2" borderId="97" xfId="0" applyNumberFormat="1" applyFont="1" applyFill="1" applyBorder="1" applyAlignment="1">
      <alignment horizontal="right" vertical="center"/>
    </xf>
    <xf numFmtId="178" fontId="10" fillId="0" borderId="37" xfId="0" applyNumberFormat="1" applyFont="1" applyBorder="1">
      <alignment vertical="center"/>
    </xf>
    <xf numFmtId="177" fontId="13" fillId="0" borderId="38" xfId="0" applyNumberFormat="1" applyFont="1" applyBorder="1">
      <alignment vertical="center"/>
    </xf>
    <xf numFmtId="176" fontId="5" fillId="0" borderId="26" xfId="0" applyNumberFormat="1" applyFont="1" applyBorder="1">
      <alignment vertical="center"/>
    </xf>
    <xf numFmtId="176" fontId="20" fillId="2" borderId="87" xfId="0" applyNumberFormat="1" applyFont="1" applyFill="1" applyBorder="1" applyAlignment="1">
      <alignment horizontal="right" vertical="center"/>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protection locked="0"/>
    </xf>
    <xf numFmtId="0" fontId="5" fillId="0" borderId="16" xfId="0" applyFont="1" applyBorder="1" applyAlignment="1" applyProtection="1">
      <alignment horizontal="right" vertical="center"/>
      <protection locked="0"/>
    </xf>
    <xf numFmtId="176" fontId="5" fillId="0" borderId="83" xfId="0" applyNumberFormat="1" applyFont="1" applyBorder="1" applyProtection="1">
      <alignment vertical="center"/>
      <protection locked="0"/>
    </xf>
    <xf numFmtId="0" fontId="5" fillId="0" borderId="84" xfId="0" applyFont="1" applyBorder="1" applyProtection="1">
      <alignment vertical="center"/>
      <protection locked="0"/>
    </xf>
    <xf numFmtId="0" fontId="5" fillId="0" borderId="48" xfId="0" applyFont="1" applyBorder="1" applyAlignment="1" applyProtection="1">
      <alignment horizontal="left" vertical="center"/>
      <protection locked="0"/>
    </xf>
    <xf numFmtId="0" fontId="5" fillId="0" borderId="50" xfId="0" applyFont="1" applyBorder="1" applyAlignment="1" applyProtection="1">
      <alignment horizontal="left" vertical="center"/>
      <protection locked="0"/>
    </xf>
    <xf numFmtId="0" fontId="5" fillId="0" borderId="52" xfId="0" applyFont="1" applyBorder="1" applyProtection="1">
      <alignment vertical="center"/>
      <protection locked="0"/>
    </xf>
    <xf numFmtId="0" fontId="5" fillId="0" borderId="15" xfId="0" applyFont="1" applyBorder="1" applyProtection="1">
      <alignment vertical="center"/>
      <protection locked="0"/>
    </xf>
    <xf numFmtId="0" fontId="15" fillId="0" borderId="13" xfId="0" applyFont="1" applyBorder="1" applyProtection="1">
      <alignment vertical="center"/>
      <protection locked="0"/>
    </xf>
    <xf numFmtId="0" fontId="11" fillId="0" borderId="9" xfId="0" applyFont="1" applyBorder="1" applyProtection="1">
      <alignment vertical="center"/>
      <protection locked="0"/>
    </xf>
    <xf numFmtId="176" fontId="11" fillId="0" borderId="13" xfId="0" applyNumberFormat="1" applyFont="1" applyBorder="1" applyProtection="1">
      <alignment vertical="center"/>
      <protection locked="0"/>
    </xf>
    <xf numFmtId="176" fontId="11" fillId="0" borderId="91" xfId="0" applyNumberFormat="1" applyFont="1" applyBorder="1" applyProtection="1">
      <alignment vertical="center"/>
      <protection locked="0"/>
    </xf>
    <xf numFmtId="0" fontId="14" fillId="0" borderId="62" xfId="0" applyFont="1" applyBorder="1" applyAlignment="1" applyProtection="1">
      <alignment horizontal="center" vertical="center"/>
      <protection locked="0"/>
    </xf>
    <xf numFmtId="177" fontId="7" fillId="0" borderId="19" xfId="0" applyNumberFormat="1" applyFont="1" applyBorder="1">
      <alignment vertical="center"/>
    </xf>
    <xf numFmtId="176" fontId="10" fillId="0" borderId="51" xfId="0" applyNumberFormat="1" applyFont="1" applyBorder="1">
      <alignment vertical="center"/>
    </xf>
    <xf numFmtId="177" fontId="5" fillId="3" borderId="52" xfId="0" applyNumberFormat="1" applyFont="1" applyFill="1" applyBorder="1">
      <alignment vertical="center"/>
    </xf>
    <xf numFmtId="176" fontId="14" fillId="3" borderId="9" xfId="0" applyNumberFormat="1" applyFont="1" applyFill="1" applyBorder="1">
      <alignment vertical="center"/>
    </xf>
    <xf numFmtId="0" fontId="5" fillId="0" borderId="61" xfId="0" applyFont="1" applyBorder="1" applyAlignment="1" applyProtection="1">
      <alignment horizontal="center" vertical="center"/>
      <protection locked="0"/>
    </xf>
    <xf numFmtId="0" fontId="5" fillId="5" borderId="73" xfId="0" applyFont="1" applyFill="1" applyBorder="1" applyAlignment="1" applyProtection="1">
      <alignment horizontal="right" vertical="center"/>
      <protection locked="0"/>
    </xf>
    <xf numFmtId="0" fontId="5" fillId="0" borderId="24" xfId="0" applyFont="1" applyBorder="1" applyAlignment="1" applyProtection="1">
      <alignment horizontal="left" vertical="center"/>
      <protection locked="0"/>
    </xf>
    <xf numFmtId="0" fontId="5" fillId="0" borderId="25" xfId="0" applyFont="1" applyBorder="1" applyProtection="1">
      <alignment vertical="center"/>
      <protection locked="0"/>
    </xf>
    <xf numFmtId="0" fontId="5" fillId="0" borderId="59" xfId="0" applyFont="1" applyBorder="1" applyAlignment="1" applyProtection="1">
      <alignment horizontal="center" vertical="center" wrapText="1"/>
      <protection locked="0"/>
    </xf>
    <xf numFmtId="176" fontId="5" fillId="0" borderId="60" xfId="0" applyNumberFormat="1" applyFont="1" applyBorder="1" applyAlignment="1" applyProtection="1">
      <alignment horizontal="center" vertical="center" wrapText="1"/>
      <protection locked="0"/>
    </xf>
    <xf numFmtId="0" fontId="5" fillId="0" borderId="27" xfId="0" applyFont="1" applyBorder="1" applyAlignment="1" applyProtection="1">
      <alignment horizontal="right" vertical="center"/>
      <protection locked="0"/>
    </xf>
    <xf numFmtId="0" fontId="5" fillId="0" borderId="18" xfId="0" applyFont="1" applyBorder="1" applyAlignment="1" applyProtection="1">
      <alignment horizontal="right" vertical="center"/>
      <protection locked="0"/>
    </xf>
    <xf numFmtId="0" fontId="5" fillId="0" borderId="70" xfId="0" applyFont="1" applyBorder="1" applyProtection="1">
      <alignment vertical="center"/>
      <protection locked="0"/>
    </xf>
    <xf numFmtId="0" fontId="5" fillId="4" borderId="36" xfId="0" applyFont="1" applyFill="1" applyBorder="1" applyAlignment="1" applyProtection="1">
      <alignment horizontal="center" vertical="center"/>
      <protection locked="0"/>
    </xf>
    <xf numFmtId="0" fontId="5" fillId="0" borderId="69" xfId="0" applyFont="1" applyBorder="1" applyProtection="1">
      <alignment vertical="center"/>
      <protection locked="0"/>
    </xf>
    <xf numFmtId="0" fontId="5" fillId="0" borderId="63" xfId="0" applyFont="1" applyBorder="1" applyProtection="1">
      <alignment vertical="center"/>
      <protection locked="0"/>
    </xf>
    <xf numFmtId="0" fontId="5" fillId="0" borderId="66" xfId="0" applyFont="1" applyBorder="1" applyProtection="1">
      <alignment vertical="center"/>
      <protection locked="0"/>
    </xf>
    <xf numFmtId="0" fontId="8" fillId="0" borderId="57" xfId="0" applyFont="1" applyBorder="1" applyProtection="1">
      <alignment vertical="center"/>
      <protection locked="0"/>
    </xf>
    <xf numFmtId="0" fontId="5" fillId="0" borderId="62" xfId="0" applyFont="1" applyBorder="1" applyProtection="1">
      <alignment vertical="center"/>
      <protection locked="0"/>
    </xf>
    <xf numFmtId="176" fontId="5" fillId="0" borderId="0" xfId="0" applyNumberFormat="1" applyFont="1" applyAlignment="1" applyProtection="1">
      <alignment horizontal="center" vertical="center"/>
      <protection locked="0"/>
    </xf>
    <xf numFmtId="0" fontId="11" fillId="0" borderId="10" xfId="0" applyFont="1" applyBorder="1" applyProtection="1">
      <alignment vertical="center"/>
      <protection locked="0"/>
    </xf>
    <xf numFmtId="0" fontId="5" fillId="2" borderId="74" xfId="0" applyFont="1" applyFill="1" applyBorder="1" applyAlignment="1">
      <alignment horizontal="right" vertical="center"/>
    </xf>
    <xf numFmtId="176" fontId="5" fillId="0" borderId="61" xfId="0" applyNumberFormat="1" applyFont="1" applyBorder="1" applyAlignment="1">
      <alignment horizontal="center" vertical="center" wrapText="1"/>
    </xf>
    <xf numFmtId="177" fontId="5" fillId="3" borderId="67" xfId="0" applyNumberFormat="1" applyFont="1" applyFill="1" applyBorder="1">
      <alignment vertical="center"/>
    </xf>
    <xf numFmtId="177" fontId="5" fillId="3" borderId="68" xfId="0" applyNumberFormat="1" applyFont="1" applyFill="1" applyBorder="1">
      <alignment vertical="center"/>
    </xf>
    <xf numFmtId="177" fontId="8" fillId="3" borderId="3" xfId="0" applyNumberFormat="1" applyFont="1" applyFill="1" applyBorder="1">
      <alignment vertical="center"/>
    </xf>
    <xf numFmtId="0" fontId="5" fillId="0" borderId="0" xfId="0" applyFont="1" applyAlignment="1" applyProtection="1">
      <alignment horizontal="left" vertical="top" wrapText="1"/>
      <protection locked="0"/>
    </xf>
    <xf numFmtId="0" fontId="5" fillId="4" borderId="103" xfId="0" applyFont="1" applyFill="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0" fillId="0" borderId="84" xfId="0" applyBorder="1" applyProtection="1">
      <alignment vertical="center"/>
      <protection locked="0"/>
    </xf>
    <xf numFmtId="0" fontId="0" fillId="0" borderId="18" xfId="0" applyBorder="1" applyProtection="1">
      <alignment vertical="center"/>
      <protection locked="0"/>
    </xf>
    <xf numFmtId="0" fontId="0" fillId="0" borderId="15" xfId="0" applyBorder="1" applyProtection="1">
      <alignment vertical="center"/>
      <protection locked="0"/>
    </xf>
    <xf numFmtId="0" fontId="5" fillId="0" borderId="46" xfId="0" applyFont="1" applyBorder="1" applyProtection="1">
      <alignment vertical="center"/>
      <protection locked="0"/>
    </xf>
    <xf numFmtId="0" fontId="6" fillId="0" borderId="104" xfId="0" applyFont="1" applyBorder="1" applyAlignment="1" applyProtection="1">
      <alignment horizontal="left" vertical="center"/>
      <protection locked="0"/>
    </xf>
    <xf numFmtId="0" fontId="0" fillId="0" borderId="26" xfId="0" applyBorder="1" applyProtection="1">
      <alignment vertical="center"/>
      <protection locked="0"/>
    </xf>
    <xf numFmtId="0" fontId="0" fillId="0" borderId="19" xfId="0" applyBorder="1" applyProtection="1">
      <alignment vertical="center"/>
      <protection locked="0"/>
    </xf>
    <xf numFmtId="176" fontId="5" fillId="0" borderId="86" xfId="0" applyNumberFormat="1" applyFont="1" applyBorder="1" applyAlignment="1" applyProtection="1">
      <alignment horizontal="center" vertical="center"/>
      <protection locked="0"/>
    </xf>
    <xf numFmtId="0" fontId="0" fillId="0" borderId="79" xfId="0" applyBorder="1" applyProtection="1">
      <alignment vertical="center"/>
      <protection locked="0"/>
    </xf>
    <xf numFmtId="0" fontId="0" fillId="0" borderId="87" xfId="0" applyBorder="1" applyProtection="1">
      <alignment vertical="center"/>
      <protection locked="0"/>
    </xf>
    <xf numFmtId="176" fontId="5" fillId="0" borderId="10" xfId="0" applyNumberFormat="1" applyFont="1" applyBorder="1" applyProtection="1">
      <alignment vertical="center"/>
      <protection locked="0"/>
    </xf>
    <xf numFmtId="0" fontId="0" fillId="0" borderId="9" xfId="0" applyBorder="1" applyProtection="1">
      <alignment vertical="center"/>
      <protection locked="0"/>
    </xf>
    <xf numFmtId="0" fontId="0" fillId="0" borderId="10" xfId="0" applyBorder="1" applyProtection="1">
      <alignment vertical="center"/>
      <protection locked="0"/>
    </xf>
    <xf numFmtId="0" fontId="5" fillId="0" borderId="105" xfId="0" applyFont="1" applyBorder="1" applyAlignment="1" applyProtection="1">
      <alignment horizontal="right" vertical="center"/>
      <protection locked="0"/>
    </xf>
    <xf numFmtId="0" fontId="5" fillId="0" borderId="35" xfId="0" applyFont="1" applyBorder="1" applyAlignment="1" applyProtection="1">
      <alignment horizontal="right" vertical="center"/>
      <protection locked="0"/>
    </xf>
    <xf numFmtId="0" fontId="5" fillId="0" borderId="106" xfId="0" applyFont="1" applyBorder="1" applyAlignment="1" applyProtection="1">
      <alignment horizontal="right" vertical="center"/>
      <protection locked="0"/>
    </xf>
    <xf numFmtId="0" fontId="5" fillId="0" borderId="26" xfId="0" applyFont="1" applyBorder="1" applyProtection="1">
      <alignment vertical="center"/>
      <protection locked="0"/>
    </xf>
    <xf numFmtId="0" fontId="5" fillId="0" borderId="55" xfId="0" applyFont="1" applyBorder="1" applyProtection="1">
      <alignment vertical="center"/>
      <protection locked="0"/>
    </xf>
    <xf numFmtId="0" fontId="5" fillId="0" borderId="18" xfId="0" applyFont="1" applyBorder="1" applyProtection="1">
      <alignment vertical="center"/>
      <protection locked="0"/>
    </xf>
    <xf numFmtId="0" fontId="5" fillId="4" borderId="37" xfId="0" applyFont="1" applyFill="1" applyBorder="1" applyAlignment="1" applyProtection="1">
      <alignment horizontal="center" vertical="center"/>
      <protection locked="0"/>
    </xf>
    <xf numFmtId="0" fontId="5" fillId="0" borderId="37" xfId="0" applyFont="1" applyBorder="1" applyProtection="1">
      <alignment vertical="center"/>
      <protection locked="0"/>
    </xf>
    <xf numFmtId="0" fontId="5" fillId="0" borderId="107" xfId="0" applyFont="1" applyBorder="1" applyProtection="1">
      <alignment vertical="center"/>
      <protection locked="0"/>
    </xf>
    <xf numFmtId="0" fontId="5" fillId="4" borderId="108" xfId="0" applyFont="1" applyFill="1" applyBorder="1" applyAlignment="1" applyProtection="1">
      <alignment horizontal="center" vertical="center"/>
      <protection locked="0"/>
    </xf>
    <xf numFmtId="0" fontId="5" fillId="0" borderId="51" xfId="0" applyFont="1" applyBorder="1" applyProtection="1">
      <alignment vertical="center"/>
      <protection locked="0"/>
    </xf>
    <xf numFmtId="0" fontId="5" fillId="0" borderId="2" xfId="0" applyFont="1" applyBorder="1" applyAlignment="1">
      <alignment horizontal="center" vertical="center" wrapText="1"/>
    </xf>
    <xf numFmtId="0" fontId="5" fillId="4" borderId="83" xfId="0" applyFont="1" applyFill="1" applyBorder="1" applyAlignment="1" applyProtection="1">
      <alignment horizontal="center" vertical="center"/>
      <protection locked="0"/>
    </xf>
    <xf numFmtId="0" fontId="5" fillId="0" borderId="25" xfId="0" applyFont="1" applyBorder="1" applyAlignment="1" applyProtection="1">
      <alignment horizontal="center" vertical="center" wrapText="1"/>
      <protection locked="0"/>
    </xf>
    <xf numFmtId="0" fontId="5" fillId="0" borderId="109" xfId="0" applyFont="1" applyBorder="1" applyAlignment="1" applyProtection="1">
      <alignment horizontal="center" vertical="center"/>
      <protection locked="0"/>
    </xf>
    <xf numFmtId="0" fontId="5" fillId="0" borderId="30" xfId="0" applyFont="1" applyBorder="1" applyProtection="1">
      <alignment vertical="center"/>
      <protection locked="0"/>
    </xf>
    <xf numFmtId="0" fontId="5" fillId="0" borderId="105" xfId="0" applyFont="1" applyBorder="1" applyProtection="1">
      <alignment vertical="center"/>
      <protection locked="0"/>
    </xf>
    <xf numFmtId="0" fontId="5" fillId="0" borderId="106" xfId="0" applyFont="1" applyBorder="1" applyProtection="1">
      <alignment vertical="center"/>
      <protection locked="0"/>
    </xf>
    <xf numFmtId="0" fontId="5" fillId="0" borderId="110" xfId="0" applyFont="1" applyBorder="1" applyProtection="1">
      <alignment vertical="center"/>
      <protection locked="0"/>
    </xf>
    <xf numFmtId="0" fontId="5" fillId="0" borderId="32" xfId="0" applyFont="1" applyBorder="1" applyProtection="1">
      <alignment vertical="center"/>
      <protection locked="0"/>
    </xf>
    <xf numFmtId="176" fontId="5" fillId="0" borderId="37" xfId="0" applyNumberFormat="1" applyFont="1" applyBorder="1" applyProtection="1">
      <alignment vertical="center"/>
      <protection locked="0"/>
    </xf>
    <xf numFmtId="176" fontId="5" fillId="0" borderId="111" xfId="0" applyNumberFormat="1" applyFont="1" applyBorder="1" applyAlignment="1" applyProtection="1">
      <alignment horizontal="right" vertical="center"/>
      <protection locked="0"/>
    </xf>
    <xf numFmtId="176" fontId="6" fillId="0" borderId="108" xfId="0" applyNumberFormat="1" applyFont="1" applyBorder="1" applyProtection="1">
      <alignment vertical="center"/>
      <protection locked="0"/>
    </xf>
    <xf numFmtId="0" fontId="5" fillId="4" borderId="26" xfId="0" applyFont="1" applyFill="1" applyBorder="1" applyAlignment="1" applyProtection="1">
      <alignment horizontal="center" vertical="center"/>
      <protection locked="0"/>
    </xf>
    <xf numFmtId="0" fontId="5" fillId="0" borderId="87" xfId="0" applyFont="1" applyBorder="1" applyAlignment="1" applyProtection="1">
      <alignment horizontal="center" vertical="center"/>
      <protection locked="0"/>
    </xf>
    <xf numFmtId="0" fontId="5" fillId="0" borderId="107" xfId="0" applyFont="1" applyBorder="1" applyAlignment="1" applyProtection="1">
      <alignment horizontal="center" vertical="center" wrapText="1"/>
      <protection locked="0"/>
    </xf>
    <xf numFmtId="176" fontId="5" fillId="0" borderId="21" xfId="0" applyNumberFormat="1"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176" fontId="5" fillId="0" borderId="7" xfId="0" applyNumberFormat="1" applyFont="1" applyBorder="1" applyAlignment="1" applyProtection="1">
      <alignment horizontal="right" vertical="center"/>
      <protection locked="0"/>
    </xf>
    <xf numFmtId="177" fontId="5" fillId="0" borderId="19" xfId="0" applyNumberFormat="1" applyFont="1" applyBorder="1">
      <alignment vertical="center"/>
    </xf>
    <xf numFmtId="180" fontId="5" fillId="0" borderId="19" xfId="0" applyNumberFormat="1" applyFont="1" applyBorder="1">
      <alignment vertical="center"/>
    </xf>
    <xf numFmtId="0" fontId="5" fillId="0" borderId="0" xfId="0" applyFont="1" applyAlignment="1" applyProtection="1">
      <alignment vertical="top" wrapText="1"/>
      <protection locked="0"/>
    </xf>
    <xf numFmtId="0" fontId="5" fillId="0" borderId="0" xfId="0" applyFont="1" applyAlignment="1" applyProtection="1">
      <alignment vertical="top"/>
      <protection locked="0"/>
    </xf>
    <xf numFmtId="0" fontId="5" fillId="0" borderId="83" xfId="0" applyFont="1" applyBorder="1" applyProtection="1">
      <alignment vertical="center"/>
      <protection locked="0"/>
    </xf>
    <xf numFmtId="0" fontId="5" fillId="2" borderId="34" xfId="0" applyFont="1" applyFill="1" applyBorder="1" applyAlignment="1" applyProtection="1">
      <alignment horizontal="center" vertical="center"/>
      <protection locked="0"/>
    </xf>
    <xf numFmtId="176" fontId="6" fillId="0" borderId="15" xfId="0" applyNumberFormat="1" applyFont="1" applyBorder="1" applyProtection="1">
      <alignment vertical="center"/>
      <protection locked="0"/>
    </xf>
    <xf numFmtId="0" fontId="5" fillId="4" borderId="110" xfId="0"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protection locked="0"/>
    </xf>
    <xf numFmtId="0" fontId="5" fillId="0" borderId="2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2" xfId="0" applyFont="1" applyBorder="1" applyAlignment="1" applyProtection="1">
      <alignment horizontal="left" vertical="center"/>
      <protection locked="0"/>
    </xf>
    <xf numFmtId="0" fontId="0" fillId="0" borderId="27" xfId="0" applyBorder="1" applyProtection="1">
      <alignment vertical="center"/>
      <protection locked="0"/>
    </xf>
    <xf numFmtId="0" fontId="0" fillId="0" borderId="20" xfId="0" applyBorder="1" applyProtection="1">
      <alignment vertical="center"/>
      <protection locked="0"/>
    </xf>
    <xf numFmtId="177" fontId="5" fillId="0" borderId="33" xfId="0" applyNumberFormat="1" applyFont="1" applyBorder="1">
      <alignment vertical="center"/>
    </xf>
    <xf numFmtId="0" fontId="5" fillId="0" borderId="8" xfId="0" applyFont="1" applyBorder="1" applyAlignment="1" applyProtection="1">
      <alignment horizontal="center" vertical="center"/>
      <protection locked="0"/>
    </xf>
    <xf numFmtId="176" fontId="10" fillId="0" borderId="32" xfId="0" applyNumberFormat="1" applyFont="1" applyBorder="1">
      <alignment vertical="center"/>
    </xf>
    <xf numFmtId="0" fontId="5" fillId="0" borderId="30" xfId="0" applyFont="1" applyBorder="1" applyAlignment="1" applyProtection="1">
      <alignment horizontal="left" vertical="center"/>
      <protection locked="0"/>
    </xf>
    <xf numFmtId="0" fontId="5" fillId="0" borderId="26" xfId="0" applyFont="1" applyBorder="1" applyAlignment="1" applyProtection="1">
      <alignment horizontal="right" vertical="center"/>
      <protection locked="0"/>
    </xf>
    <xf numFmtId="176" fontId="5" fillId="0" borderId="113" xfId="0" applyNumberFormat="1" applyFont="1" applyBorder="1" applyAlignment="1" applyProtection="1">
      <alignment horizontal="right" vertical="center"/>
      <protection locked="0"/>
    </xf>
    <xf numFmtId="177" fontId="5" fillId="3" borderId="73" xfId="0" applyNumberFormat="1" applyFont="1" applyFill="1" applyBorder="1">
      <alignment vertical="center"/>
    </xf>
    <xf numFmtId="176" fontId="5" fillId="5" borderId="16" xfId="0" applyNumberFormat="1" applyFont="1" applyFill="1" applyBorder="1" applyAlignment="1" applyProtection="1">
      <alignment horizontal="right" vertical="center"/>
      <protection locked="0"/>
    </xf>
    <xf numFmtId="0" fontId="5" fillId="4" borderId="6" xfId="0" applyFont="1" applyFill="1" applyBorder="1" applyAlignment="1" applyProtection="1">
      <alignment horizontal="center" vertical="center"/>
      <protection locked="0"/>
    </xf>
    <xf numFmtId="0" fontId="5" fillId="0" borderId="114" xfId="0" applyFont="1" applyBorder="1" applyProtection="1">
      <alignment vertical="center"/>
      <protection locked="0"/>
    </xf>
    <xf numFmtId="177" fontId="5" fillId="3" borderId="74" xfId="0" applyNumberFormat="1" applyFont="1" applyFill="1" applyBorder="1">
      <alignment vertical="center"/>
    </xf>
    <xf numFmtId="0" fontId="5" fillId="0" borderId="26" xfId="0" applyFont="1" applyBorder="1" applyAlignment="1" applyProtection="1">
      <alignment horizontal="center" vertical="center"/>
      <protection locked="0"/>
    </xf>
    <xf numFmtId="0" fontId="5" fillId="0" borderId="33" xfId="0" applyFont="1" applyBorder="1" applyAlignment="1" applyProtection="1">
      <alignment horizontal="left" vertical="center"/>
      <protection locked="0"/>
    </xf>
    <xf numFmtId="0" fontId="14" fillId="0" borderId="62" xfId="0" applyFont="1" applyBorder="1" applyProtection="1">
      <alignment vertical="center"/>
      <protection locked="0"/>
    </xf>
    <xf numFmtId="0" fontId="11" fillId="0" borderId="62" xfId="0" applyFont="1" applyBorder="1" applyProtection="1">
      <alignment vertical="center"/>
      <protection locked="0"/>
    </xf>
    <xf numFmtId="178" fontId="10" fillId="2" borderId="3" xfId="0" applyNumberFormat="1" applyFont="1" applyFill="1" applyBorder="1" applyProtection="1">
      <alignment vertical="center"/>
      <protection locked="0"/>
    </xf>
    <xf numFmtId="176" fontId="15" fillId="3" borderId="3" xfId="0" applyNumberFormat="1" applyFont="1" applyFill="1" applyBorder="1">
      <alignment vertical="center"/>
    </xf>
    <xf numFmtId="0" fontId="22" fillId="0" borderId="62" xfId="0" applyFont="1" applyBorder="1" applyAlignment="1" applyProtection="1">
      <alignment horizontal="center" vertical="center"/>
      <protection locked="0"/>
    </xf>
    <xf numFmtId="176" fontId="14" fillId="3" borderId="1" xfId="0" applyNumberFormat="1" applyFont="1" applyFill="1" applyBorder="1">
      <alignment vertical="center"/>
    </xf>
    <xf numFmtId="0" fontId="5" fillId="4" borderId="116" xfId="0" applyFont="1" applyFill="1" applyBorder="1" applyAlignment="1" applyProtection="1">
      <alignment horizontal="center" vertical="center"/>
      <protection locked="0"/>
    </xf>
    <xf numFmtId="177" fontId="5" fillId="3" borderId="38" xfId="0" applyNumberFormat="1" applyFont="1" applyFill="1" applyBorder="1">
      <alignment vertical="center"/>
    </xf>
    <xf numFmtId="0" fontId="15" fillId="0" borderId="0" xfId="0" applyFont="1" applyProtection="1">
      <alignment vertical="center"/>
      <protection locked="0"/>
    </xf>
    <xf numFmtId="0" fontId="11" fillId="0" borderId="0" xfId="0" applyFont="1" applyProtection="1">
      <alignment vertical="center"/>
      <protection locked="0"/>
    </xf>
    <xf numFmtId="176" fontId="11" fillId="0" borderId="0" xfId="0" applyNumberFormat="1" applyFont="1" applyProtection="1">
      <alignment vertical="center"/>
      <protection locked="0"/>
    </xf>
    <xf numFmtId="176" fontId="14" fillId="0" borderId="0" xfId="0" applyNumberFormat="1" applyFont="1">
      <alignment vertical="center"/>
    </xf>
    <xf numFmtId="176" fontId="5" fillId="0" borderId="117" xfId="0" applyNumberFormat="1" applyFont="1" applyBorder="1" applyProtection="1">
      <alignment vertical="center"/>
      <protection locked="0"/>
    </xf>
    <xf numFmtId="176" fontId="5" fillId="0" borderId="21" xfId="0" applyNumberFormat="1" applyFont="1" applyBorder="1" applyProtection="1">
      <alignment vertical="center"/>
      <protection locked="0"/>
    </xf>
    <xf numFmtId="176" fontId="15" fillId="3" borderId="9" xfId="0" applyNumberFormat="1" applyFont="1" applyFill="1" applyBorder="1">
      <alignment vertical="center"/>
    </xf>
    <xf numFmtId="176" fontId="15" fillId="3" borderId="118" xfId="0" applyNumberFormat="1" applyFont="1" applyFill="1" applyBorder="1">
      <alignment vertical="center"/>
    </xf>
    <xf numFmtId="178" fontId="10" fillId="2" borderId="10" xfId="0" applyNumberFormat="1" applyFont="1" applyFill="1" applyBorder="1" applyProtection="1">
      <alignment vertical="center"/>
      <protection locked="0"/>
    </xf>
    <xf numFmtId="178" fontId="10" fillId="2" borderId="57" xfId="0" applyNumberFormat="1" applyFont="1" applyFill="1" applyBorder="1" applyProtection="1">
      <alignment vertical="center"/>
      <protection locked="0"/>
    </xf>
    <xf numFmtId="176" fontId="5" fillId="0" borderId="9" xfId="0" applyNumberFormat="1" applyFont="1" applyBorder="1" applyProtection="1">
      <alignment vertical="center"/>
      <protection locked="0"/>
    </xf>
    <xf numFmtId="176" fontId="5" fillId="0" borderId="118" xfId="0" applyNumberFormat="1" applyFont="1" applyBorder="1" applyProtection="1">
      <alignment vertical="center"/>
      <protection locked="0"/>
    </xf>
    <xf numFmtId="177" fontId="18" fillId="2" borderId="119" xfId="0" applyNumberFormat="1" applyFont="1" applyFill="1" applyBorder="1">
      <alignment vertical="center"/>
    </xf>
    <xf numFmtId="0" fontId="5" fillId="0" borderId="120" xfId="0" applyFont="1" applyBorder="1" applyProtection="1">
      <alignment vertical="center"/>
      <protection locked="0"/>
    </xf>
    <xf numFmtId="0" fontId="5" fillId="0" borderId="113" xfId="0" applyFont="1" applyBorder="1" applyProtection="1">
      <alignment vertical="center"/>
      <protection locked="0"/>
    </xf>
    <xf numFmtId="177" fontId="8" fillId="3" borderId="73" xfId="0" applyNumberFormat="1" applyFont="1" applyFill="1" applyBorder="1">
      <alignment vertical="center"/>
    </xf>
    <xf numFmtId="176" fontId="20" fillId="0" borderId="99" xfId="0" applyNumberFormat="1" applyFont="1" applyBorder="1" applyAlignment="1">
      <alignment horizontal="right" vertical="center"/>
    </xf>
    <xf numFmtId="176" fontId="5" fillId="0" borderId="26" xfId="0" applyNumberFormat="1" applyFont="1" applyBorder="1" applyProtection="1">
      <alignment vertical="center"/>
      <protection locked="0"/>
    </xf>
    <xf numFmtId="0" fontId="0" fillId="0" borderId="83" xfId="0" applyBorder="1" applyProtection="1">
      <alignment vertical="center"/>
      <protection locked="0"/>
    </xf>
    <xf numFmtId="176" fontId="20" fillId="2" borderId="121" xfId="0" applyNumberFormat="1" applyFont="1" applyFill="1" applyBorder="1" applyAlignment="1">
      <alignment horizontal="right" vertical="center"/>
    </xf>
    <xf numFmtId="177" fontId="5" fillId="3" borderId="56" xfId="0" applyNumberFormat="1" applyFont="1" applyFill="1" applyBorder="1">
      <alignment vertical="center"/>
    </xf>
    <xf numFmtId="0" fontId="5" fillId="0" borderId="122" xfId="0" applyFont="1" applyBorder="1" applyProtection="1">
      <alignment vertical="center"/>
      <protection locked="0"/>
    </xf>
    <xf numFmtId="0" fontId="5" fillId="0" borderId="122" xfId="0" applyFont="1" applyBorder="1" applyAlignment="1" applyProtection="1">
      <alignment horizontal="right" vertical="center"/>
      <protection locked="0"/>
    </xf>
    <xf numFmtId="38" fontId="22" fillId="3" borderId="126" xfId="1" applyFont="1" applyFill="1" applyBorder="1" applyProtection="1">
      <alignment vertical="center"/>
    </xf>
    <xf numFmtId="0" fontId="30" fillId="0" borderId="0" xfId="0" applyFont="1" applyAlignment="1" applyProtection="1">
      <alignment horizontal="center" vertical="center"/>
      <protection locked="0"/>
    </xf>
    <xf numFmtId="0" fontId="14" fillId="0" borderId="9" xfId="0" applyFont="1" applyBorder="1" applyProtection="1">
      <alignment vertical="center"/>
      <protection locked="0"/>
    </xf>
    <xf numFmtId="0" fontId="5" fillId="0" borderId="28" xfId="0" applyFont="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181" fontId="5" fillId="5" borderId="24" xfId="0" applyNumberFormat="1" applyFont="1" applyFill="1" applyBorder="1" applyAlignment="1" applyProtection="1">
      <alignment horizontal="right" vertical="center"/>
      <protection locked="0"/>
    </xf>
    <xf numFmtId="180" fontId="8" fillId="3" borderId="65" xfId="0" applyNumberFormat="1" applyFont="1" applyFill="1" applyBorder="1">
      <alignment vertical="center"/>
    </xf>
    <xf numFmtId="180" fontId="8" fillId="3" borderId="73" xfId="0" applyNumberFormat="1" applyFont="1" applyFill="1" applyBorder="1">
      <alignment vertical="center"/>
    </xf>
    <xf numFmtId="176" fontId="20" fillId="0" borderId="124" xfId="0" applyNumberFormat="1" applyFont="1" applyBorder="1" applyAlignment="1">
      <alignment horizontal="right" vertical="center"/>
    </xf>
    <xf numFmtId="178" fontId="10" fillId="0" borderId="123" xfId="0" applyNumberFormat="1" applyFont="1" applyBorder="1">
      <alignment vertical="center"/>
    </xf>
    <xf numFmtId="177" fontId="13" fillId="0" borderId="125" xfId="0" applyNumberFormat="1" applyFont="1" applyBorder="1">
      <alignment vertical="center"/>
    </xf>
    <xf numFmtId="176" fontId="20" fillId="0" borderId="104" xfId="0" applyNumberFormat="1" applyFont="1" applyBorder="1" applyAlignment="1">
      <alignment horizontal="right" vertical="center"/>
    </xf>
    <xf numFmtId="177" fontId="13" fillId="0" borderId="15" xfId="0" applyNumberFormat="1" applyFont="1" applyBorder="1">
      <alignment vertical="center"/>
    </xf>
    <xf numFmtId="178" fontId="31" fillId="0" borderId="37" xfId="0" applyNumberFormat="1" applyFont="1" applyBorder="1">
      <alignment vertical="center"/>
    </xf>
    <xf numFmtId="177" fontId="32" fillId="0" borderId="38" xfId="0" applyNumberFormat="1" applyFont="1" applyBorder="1">
      <alignment vertical="center"/>
    </xf>
    <xf numFmtId="176" fontId="34" fillId="0" borderId="0" xfId="0" applyNumberFormat="1" applyFont="1" applyAlignment="1" applyProtection="1">
      <alignment horizontal="center" vertical="center"/>
      <protection locked="0"/>
    </xf>
    <xf numFmtId="177" fontId="34" fillId="0" borderId="0" xfId="0" applyNumberFormat="1" applyFont="1" applyAlignment="1" applyProtection="1">
      <alignment horizontal="center" vertical="center"/>
      <protection locked="0"/>
    </xf>
    <xf numFmtId="3" fontId="15" fillId="0" borderId="13" xfId="0" applyNumberFormat="1" applyFont="1" applyBorder="1" applyProtection="1">
      <alignment vertical="center"/>
      <protection locked="0"/>
    </xf>
    <xf numFmtId="3" fontId="15" fillId="0" borderId="91" xfId="0" applyNumberFormat="1" applyFont="1" applyBorder="1" applyProtection="1">
      <alignment vertical="center"/>
      <protection locked="0"/>
    </xf>
    <xf numFmtId="38" fontId="34" fillId="3" borderId="1" xfId="1" applyFont="1" applyFill="1" applyBorder="1" applyAlignment="1" applyProtection="1">
      <alignment vertical="center"/>
    </xf>
    <xf numFmtId="38" fontId="34" fillId="3" borderId="2" xfId="1" applyFont="1" applyFill="1" applyBorder="1" applyAlignment="1" applyProtection="1">
      <alignment vertical="center"/>
    </xf>
    <xf numFmtId="0" fontId="35" fillId="0" borderId="0" xfId="0" applyFont="1" applyProtection="1">
      <alignment vertical="center"/>
      <protection locked="0"/>
    </xf>
    <xf numFmtId="0" fontId="8" fillId="5" borderId="67" xfId="0" applyFont="1" applyFill="1" applyBorder="1" applyAlignment="1" applyProtection="1">
      <alignment horizontal="right" vertical="center"/>
      <protection locked="0"/>
    </xf>
    <xf numFmtId="0" fontId="8" fillId="5" borderId="64" xfId="0" applyFont="1" applyFill="1" applyBorder="1" applyAlignment="1" applyProtection="1">
      <alignment horizontal="right" vertical="center"/>
      <protection locked="0"/>
    </xf>
    <xf numFmtId="0" fontId="8" fillId="5" borderId="77" xfId="0" applyFont="1" applyFill="1" applyBorder="1" applyAlignment="1" applyProtection="1">
      <alignment horizontal="right" vertical="center"/>
      <protection locked="0"/>
    </xf>
    <xf numFmtId="0" fontId="8" fillId="0" borderId="34" xfId="0" applyFont="1" applyBorder="1" applyProtection="1">
      <alignment vertical="center"/>
      <protection locked="0"/>
    </xf>
    <xf numFmtId="0" fontId="8" fillId="4" borderId="37" xfId="0" applyFont="1" applyFill="1" applyBorder="1" applyAlignment="1" applyProtection="1">
      <alignment horizontal="center" vertical="center"/>
      <protection locked="0"/>
    </xf>
    <xf numFmtId="0" fontId="8" fillId="0" borderId="16" xfId="0" applyFont="1" applyBorder="1" applyAlignment="1" applyProtection="1">
      <alignment horizontal="left" vertical="center"/>
      <protection locked="0"/>
    </xf>
    <xf numFmtId="38" fontId="15" fillId="0" borderId="13" xfId="1" applyFont="1" applyBorder="1" applyProtection="1">
      <alignment vertical="center"/>
      <protection locked="0"/>
    </xf>
    <xf numFmtId="0" fontId="33" fillId="0" borderId="0" xfId="0" applyFont="1" applyProtection="1">
      <alignment vertical="center"/>
      <protection locked="0"/>
    </xf>
    <xf numFmtId="0" fontId="8" fillId="0" borderId="36" xfId="0" applyFont="1" applyBorder="1" applyProtection="1">
      <alignment vertical="center"/>
      <protection locked="0"/>
    </xf>
    <xf numFmtId="0" fontId="8" fillId="2" borderId="34" xfId="0" applyFont="1" applyFill="1" applyBorder="1" applyAlignment="1" applyProtection="1">
      <alignment horizontal="center" vertical="center"/>
      <protection locked="0"/>
    </xf>
    <xf numFmtId="176" fontId="8" fillId="0" borderId="0" xfId="0" applyNumberFormat="1" applyFont="1" applyProtection="1">
      <alignment vertical="center"/>
      <protection locked="0"/>
    </xf>
    <xf numFmtId="0" fontId="36" fillId="0" borderId="0" xfId="0" applyFont="1" applyProtection="1">
      <alignment vertical="center"/>
      <protection locked="0"/>
    </xf>
    <xf numFmtId="176" fontId="22" fillId="0" borderId="0" xfId="0" applyNumberFormat="1" applyFont="1" applyAlignment="1" applyProtection="1">
      <alignment horizontal="center" vertical="center"/>
      <protection locked="0"/>
    </xf>
    <xf numFmtId="177" fontId="22" fillId="0" borderId="0" xfId="0" applyNumberFormat="1" applyFont="1" applyAlignment="1" applyProtection="1">
      <alignment horizontal="center" vertical="center"/>
      <protection locked="0"/>
    </xf>
    <xf numFmtId="38" fontId="22" fillId="3" borderId="1" xfId="1" applyFont="1" applyFill="1" applyBorder="1" applyAlignment="1" applyProtection="1">
      <alignment vertical="center"/>
    </xf>
    <xf numFmtId="0" fontId="5" fillId="0" borderId="81" xfId="0" applyFont="1" applyBorder="1" applyAlignment="1" applyProtection="1">
      <alignment horizontal="left" vertical="center"/>
      <protection locked="0"/>
    </xf>
    <xf numFmtId="38" fontId="22" fillId="3" borderId="2" xfId="1" applyFont="1" applyFill="1" applyBorder="1" applyAlignment="1" applyProtection="1">
      <alignment vertical="center"/>
    </xf>
    <xf numFmtId="177" fontId="10" fillId="2" borderId="37" xfId="0" applyNumberFormat="1" applyFont="1" applyFill="1" applyBorder="1" applyAlignment="1">
      <alignment horizontal="right" vertical="center"/>
    </xf>
    <xf numFmtId="178" fontId="10" fillId="2" borderId="55" xfId="0" applyNumberFormat="1" applyFont="1" applyFill="1" applyBorder="1" applyAlignment="1">
      <alignment horizontal="right" vertical="center"/>
    </xf>
    <xf numFmtId="0" fontId="14" fillId="0" borderId="80" xfId="0" applyFont="1" applyBorder="1" applyProtection="1">
      <alignment vertical="center"/>
      <protection locked="0"/>
    </xf>
    <xf numFmtId="0" fontId="14" fillId="0" borderId="98" xfId="0" applyFont="1" applyBorder="1" applyProtection="1">
      <alignment vertical="center"/>
      <protection locked="0"/>
    </xf>
    <xf numFmtId="38" fontId="38" fillId="3" borderId="90" xfId="1" applyFont="1" applyFill="1" applyBorder="1" applyAlignment="1">
      <alignment horizontal="right" vertical="center"/>
    </xf>
    <xf numFmtId="38" fontId="38" fillId="3" borderId="127" xfId="1" applyFont="1" applyFill="1" applyBorder="1" applyAlignment="1">
      <alignment horizontal="right" vertical="center"/>
    </xf>
    <xf numFmtId="38" fontId="38" fillId="3" borderId="10" xfId="1" applyFont="1" applyFill="1" applyBorder="1" applyAlignment="1">
      <alignment horizontal="right" vertical="center"/>
    </xf>
    <xf numFmtId="38" fontId="38" fillId="3" borderId="9" xfId="1" applyFont="1" applyFill="1" applyBorder="1" applyAlignment="1">
      <alignment horizontal="right" vertical="center"/>
    </xf>
    <xf numFmtId="38" fontId="39" fillId="3" borderId="129" xfId="1" applyFont="1" applyFill="1" applyBorder="1" applyAlignment="1">
      <alignment horizontal="right" vertical="center"/>
    </xf>
    <xf numFmtId="38" fontId="39" fillId="3" borderId="128" xfId="1" applyFont="1" applyFill="1" applyBorder="1" applyAlignment="1">
      <alignment horizontal="right" vertical="center"/>
    </xf>
    <xf numFmtId="0" fontId="5" fillId="0" borderId="11" xfId="0" applyFont="1" applyBorder="1" applyProtection="1">
      <alignment vertical="center"/>
      <protection locked="0"/>
    </xf>
    <xf numFmtId="0" fontId="5" fillId="0" borderId="102" xfId="0" applyFont="1" applyBorder="1" applyProtection="1">
      <alignment vertical="center"/>
      <protection locked="0"/>
    </xf>
    <xf numFmtId="0" fontId="8" fillId="0" borderId="87" xfId="0" applyFont="1" applyBorder="1" applyProtection="1">
      <alignment vertical="center"/>
      <protection locked="0"/>
    </xf>
    <xf numFmtId="0" fontId="8" fillId="0" borderId="86" xfId="0" applyFont="1" applyBorder="1" applyProtection="1">
      <alignment vertical="center"/>
      <protection locked="0"/>
    </xf>
    <xf numFmtId="0" fontId="8" fillId="0" borderId="115" xfId="0" applyFont="1" applyBorder="1" applyProtection="1">
      <alignment vertical="center"/>
      <protection locked="0"/>
    </xf>
    <xf numFmtId="0" fontId="5" fillId="0" borderId="16" xfId="0" applyFont="1" applyBorder="1" applyProtection="1">
      <alignment vertical="center"/>
      <protection locked="0"/>
    </xf>
    <xf numFmtId="0" fontId="5" fillId="0" borderId="12" xfId="0" applyFont="1" applyBorder="1" applyProtection="1">
      <alignment vertical="center"/>
      <protection locked="0"/>
    </xf>
    <xf numFmtId="0" fontId="5" fillId="0" borderId="30" xfId="0" applyFont="1" applyBorder="1" applyProtection="1">
      <alignment vertical="center"/>
      <protection locked="0"/>
    </xf>
    <xf numFmtId="0" fontId="5" fillId="0" borderId="43" xfId="0" applyFont="1" applyBorder="1" applyProtection="1">
      <alignment vertical="center"/>
      <protection locked="0"/>
    </xf>
    <xf numFmtId="0" fontId="5" fillId="0" borderId="0" xfId="0" applyFont="1" applyAlignment="1" applyProtection="1">
      <alignment horizontal="left" vertical="top" wrapText="1"/>
      <protection locked="0"/>
    </xf>
    <xf numFmtId="0" fontId="5" fillId="0" borderId="60" xfId="0" applyFont="1" applyBorder="1" applyAlignment="1" applyProtection="1">
      <alignment horizontal="center" vertical="center"/>
      <protection locked="0"/>
    </xf>
    <xf numFmtId="0" fontId="5" fillId="0" borderId="58" xfId="0" applyFont="1" applyBorder="1" applyAlignment="1" applyProtection="1">
      <alignment horizontal="center" vertical="center"/>
      <protection locked="0"/>
    </xf>
    <xf numFmtId="0" fontId="5" fillId="0" borderId="16"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34" xfId="0" applyFont="1" applyBorder="1" applyProtection="1">
      <alignment vertical="center"/>
      <protection locked="0"/>
    </xf>
    <xf numFmtId="0" fontId="5" fillId="0" borderId="81" xfId="0" applyFont="1" applyBorder="1" applyProtection="1">
      <alignment vertical="center"/>
      <protection locked="0"/>
    </xf>
    <xf numFmtId="0" fontId="5" fillId="0" borderId="39" xfId="0" applyFont="1" applyBorder="1" applyProtection="1">
      <alignment vertical="center"/>
      <protection locked="0"/>
    </xf>
    <xf numFmtId="0" fontId="5" fillId="0" borderId="44" xfId="0" applyFont="1" applyBorder="1" applyProtection="1">
      <alignment vertical="center"/>
      <protection locked="0"/>
    </xf>
    <xf numFmtId="0" fontId="5" fillId="0" borderId="34" xfId="0" applyFont="1" applyBorder="1" applyAlignment="1" applyProtection="1">
      <alignment horizontal="left" vertical="center"/>
      <protection locked="0"/>
    </xf>
    <xf numFmtId="0" fontId="5" fillId="0" borderId="81" xfId="0" applyFont="1" applyBorder="1" applyAlignment="1" applyProtection="1">
      <alignment horizontal="left" vertical="center"/>
      <protection locked="0"/>
    </xf>
    <xf numFmtId="177" fontId="18" fillId="2" borderId="64" xfId="0" applyNumberFormat="1" applyFont="1" applyFill="1" applyBorder="1" applyAlignment="1">
      <alignment horizontal="right" vertical="center"/>
    </xf>
    <xf numFmtId="177" fontId="18" fillId="2" borderId="65" xfId="0" applyNumberFormat="1" applyFont="1" applyFill="1" applyBorder="1" applyAlignment="1">
      <alignment horizontal="right" vertical="center"/>
    </xf>
    <xf numFmtId="0" fontId="5" fillId="0" borderId="71" xfId="0" applyFont="1" applyBorder="1" applyAlignment="1" applyProtection="1">
      <alignment horizontal="left" vertical="center"/>
      <protection locked="0"/>
    </xf>
    <xf numFmtId="0" fontId="5" fillId="0" borderId="75" xfId="0" applyFont="1" applyBorder="1" applyAlignment="1" applyProtection="1">
      <alignment horizontal="left" vertical="center"/>
      <protection locked="0"/>
    </xf>
    <xf numFmtId="0" fontId="5" fillId="0" borderId="72" xfId="0" applyFont="1" applyBorder="1" applyAlignment="1" applyProtection="1">
      <alignment horizontal="left" vertical="center"/>
      <protection locked="0"/>
    </xf>
    <xf numFmtId="0" fontId="5" fillId="0" borderId="76" xfId="0" applyFont="1" applyBorder="1" applyAlignment="1" applyProtection="1">
      <alignment horizontal="left" vertical="center"/>
      <protection locked="0"/>
    </xf>
    <xf numFmtId="0" fontId="33"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78" xfId="0" applyFont="1" applyBorder="1" applyAlignment="1" applyProtection="1">
      <alignment horizontal="center" vertical="center"/>
      <protection locked="0"/>
    </xf>
    <xf numFmtId="0" fontId="5" fillId="0" borderId="80" xfId="0" applyFont="1" applyBorder="1" applyAlignment="1" applyProtection="1">
      <alignment horizontal="center" vertical="center"/>
      <protection locked="0"/>
    </xf>
    <xf numFmtId="0" fontId="5" fillId="0" borderId="98"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vertical="center" wrapText="1"/>
    </xf>
    <xf numFmtId="176" fontId="5" fillId="0" borderId="28" xfId="0" applyNumberFormat="1" applyFont="1" applyBorder="1" applyAlignment="1">
      <alignment horizontal="center" vertical="center" wrapText="1"/>
    </xf>
    <xf numFmtId="176" fontId="5" fillId="0" borderId="21" xfId="0" applyNumberFormat="1" applyFont="1" applyBorder="1" applyAlignment="1">
      <alignment horizontal="center" vertical="center" wrapText="1"/>
    </xf>
    <xf numFmtId="0" fontId="8" fillId="0" borderId="75" xfId="0" applyFont="1" applyBorder="1" applyAlignment="1" applyProtection="1">
      <alignment horizontal="left" vertical="center"/>
      <protection locked="0"/>
    </xf>
    <xf numFmtId="0" fontId="8" fillId="0" borderId="35" xfId="0" applyFont="1" applyBorder="1" applyAlignment="1" applyProtection="1">
      <alignment horizontal="left" vertical="center"/>
      <protection locked="0"/>
    </xf>
    <xf numFmtId="0" fontId="5" fillId="0" borderId="2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9" xfId="0" applyFont="1" applyBorder="1" applyAlignment="1" applyProtection="1">
      <alignment horizontal="left" vertical="center"/>
      <protection locked="0"/>
    </xf>
    <xf numFmtId="0" fontId="5" fillId="0" borderId="28" xfId="0" applyFont="1" applyBorder="1" applyAlignment="1">
      <alignment horizontal="center" vertical="center" wrapText="1"/>
    </xf>
    <xf numFmtId="0" fontId="5" fillId="0" borderId="21" xfId="0" applyFont="1" applyBorder="1" applyAlignment="1">
      <alignment horizontal="center" vertical="center" wrapText="1"/>
    </xf>
    <xf numFmtId="176" fontId="5" fillId="0" borderId="25" xfId="0" applyNumberFormat="1" applyFont="1" applyBorder="1" applyAlignment="1">
      <alignment horizontal="center" vertical="center" wrapText="1"/>
    </xf>
    <xf numFmtId="176" fontId="5" fillId="0" borderId="22" xfId="0" applyNumberFormat="1" applyFont="1" applyBorder="1" applyAlignment="1">
      <alignment horizontal="center" vertical="center" wrapText="1"/>
    </xf>
    <xf numFmtId="0" fontId="5" fillId="0" borderId="35" xfId="0" applyFont="1" applyBorder="1" applyAlignment="1" applyProtection="1">
      <alignment horizontal="left" vertical="center"/>
      <protection locked="0"/>
    </xf>
    <xf numFmtId="0" fontId="5" fillId="0" borderId="27"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16" xfId="0" applyFont="1" applyBorder="1" applyAlignment="1" applyProtection="1">
      <alignment horizontal="left" vertical="center" wrapText="1"/>
      <protection locked="0"/>
    </xf>
    <xf numFmtId="176" fontId="5" fillId="0" borderId="21" xfId="0" applyNumberFormat="1" applyFont="1" applyBorder="1" applyAlignment="1">
      <alignment horizontal="center" vertical="center"/>
    </xf>
    <xf numFmtId="176" fontId="5" fillId="0" borderId="10" xfId="0" applyNumberFormat="1" applyFont="1" applyBorder="1" applyAlignment="1" applyProtection="1">
      <alignment horizontal="center" vertical="center"/>
      <protection locked="0"/>
    </xf>
    <xf numFmtId="176" fontId="5" fillId="0" borderId="13" xfId="0" applyNumberFormat="1" applyFont="1" applyBorder="1" applyAlignment="1" applyProtection="1">
      <alignment horizontal="center" vertical="center"/>
      <protection locked="0"/>
    </xf>
    <xf numFmtId="176" fontId="5" fillId="0" borderId="9" xfId="0" applyNumberFormat="1" applyFont="1" applyBorder="1" applyAlignment="1" applyProtection="1">
      <alignment horizontal="center" vertical="center"/>
      <protection locked="0"/>
    </xf>
    <xf numFmtId="0" fontId="5" fillId="0" borderId="34" xfId="0" applyFont="1" applyBorder="1" applyAlignment="1" applyProtection="1">
      <alignment horizontal="left" vertical="center" wrapText="1"/>
      <protection locked="0"/>
    </xf>
    <xf numFmtId="0" fontId="5" fillId="0" borderId="81" xfId="0" applyFont="1" applyBorder="1" applyAlignment="1" applyProtection="1">
      <alignment horizontal="left" vertical="center" wrapText="1"/>
      <protection locked="0"/>
    </xf>
    <xf numFmtId="0" fontId="5" fillId="0" borderId="34" xfId="0" applyFont="1" applyBorder="1" applyAlignment="1" applyProtection="1">
      <alignment horizontal="left" vertical="center" wrapText="1" indent="1"/>
      <protection locked="0"/>
    </xf>
    <xf numFmtId="0" fontId="5" fillId="0" borderId="81" xfId="0" applyFont="1" applyBorder="1" applyAlignment="1" applyProtection="1">
      <alignment horizontal="left" vertical="center" wrapText="1" indent="1"/>
      <protection locked="0"/>
    </xf>
    <xf numFmtId="0" fontId="9" fillId="0" borderId="16"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5" fillId="0" borderId="92" xfId="0" applyFont="1" applyBorder="1" applyAlignment="1" applyProtection="1">
      <alignment horizontal="left" vertical="center"/>
      <protection locked="0"/>
    </xf>
    <xf numFmtId="0" fontId="5" fillId="0" borderId="93" xfId="0" applyFont="1" applyBorder="1" applyAlignment="1" applyProtection="1">
      <alignment horizontal="left" vertical="center"/>
      <protection locked="0"/>
    </xf>
    <xf numFmtId="0" fontId="5" fillId="0" borderId="45" xfId="0" applyFont="1" applyBorder="1" applyAlignment="1" applyProtection="1">
      <alignment horizontal="left" vertical="center"/>
      <protection locked="0"/>
    </xf>
    <xf numFmtId="0" fontId="5" fillId="0" borderId="82" xfId="0" applyFont="1" applyBorder="1" applyAlignment="1" applyProtection="1">
      <alignment horizontal="left" vertical="center"/>
      <protection locked="0"/>
    </xf>
    <xf numFmtId="0" fontId="5" fillId="0" borderId="29"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176" fontId="5" fillId="0" borderId="22" xfId="0" applyNumberFormat="1" applyFont="1" applyBorder="1" applyAlignment="1">
      <alignment horizontal="center" vertical="center"/>
    </xf>
    <xf numFmtId="0" fontId="5" fillId="0" borderId="24" xfId="0" applyFont="1" applyBorder="1" applyAlignment="1" applyProtection="1">
      <alignment horizontal="left" vertical="center"/>
      <protection locked="0"/>
    </xf>
    <xf numFmtId="0" fontId="5" fillId="0" borderId="102" xfId="0" applyFont="1" applyBorder="1" applyAlignment="1" applyProtection="1">
      <alignment horizontal="left" vertical="center"/>
      <protection locked="0"/>
    </xf>
    <xf numFmtId="176" fontId="5" fillId="0" borderId="25" xfId="0" applyNumberFormat="1" applyFont="1" applyBorder="1" applyAlignment="1" applyProtection="1">
      <alignment horizontal="center" vertical="center" wrapText="1"/>
      <protection locked="0"/>
    </xf>
    <xf numFmtId="176" fontId="5" fillId="0" borderId="22" xfId="0" applyNumberFormat="1" applyFont="1" applyBorder="1" applyAlignment="1" applyProtection="1">
      <alignment horizontal="center" vertical="center"/>
      <protection locked="0"/>
    </xf>
    <xf numFmtId="0" fontId="5" fillId="0" borderId="112" xfId="0" applyFont="1" applyBorder="1" applyAlignment="1" applyProtection="1">
      <alignment horizontal="left" vertical="center"/>
      <protection locked="0"/>
    </xf>
    <xf numFmtId="0" fontId="5" fillId="0" borderId="85" xfId="0" applyFont="1" applyBorder="1" applyAlignment="1" applyProtection="1">
      <alignment horizontal="left" vertical="center"/>
      <protection locked="0"/>
    </xf>
    <xf numFmtId="0" fontId="5" fillId="0" borderId="86" xfId="0" applyFont="1" applyBorder="1" applyAlignment="1" applyProtection="1">
      <alignment horizontal="left" vertical="center"/>
      <protection locked="0"/>
    </xf>
    <xf numFmtId="0" fontId="5" fillId="0" borderId="79"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5" fillId="0" borderId="12" xfId="0" applyFont="1" applyBorder="1" applyAlignment="1" applyProtection="1">
      <alignment horizontal="center" vertical="center"/>
      <protection locked="0"/>
    </xf>
    <xf numFmtId="0" fontId="9" fillId="0" borderId="40" xfId="0" applyFont="1" applyBorder="1" applyAlignment="1" applyProtection="1">
      <alignment horizontal="left" vertical="center" wrapText="1"/>
      <protection locked="0"/>
    </xf>
    <xf numFmtId="0" fontId="9" fillId="0" borderId="44"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A0F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J119"/>
  <sheetViews>
    <sheetView view="pageBreakPreview" topLeftCell="A14" zoomScale="70" zoomScaleNormal="70" zoomScaleSheetLayoutView="70" workbookViewId="0">
      <selection activeCell="G33" sqref="G33"/>
    </sheetView>
  </sheetViews>
  <sheetFormatPr defaultColWidth="9" defaultRowHeight="18.75"/>
  <cols>
    <col min="1" max="1" width="2.875" style="11" customWidth="1"/>
    <col min="2" max="2" width="3" style="9" customWidth="1"/>
    <col min="3" max="3" width="14.625" style="9" customWidth="1"/>
    <col min="4" max="4" width="32.625" style="9" customWidth="1"/>
    <col min="5" max="5" width="12" style="9" customWidth="1"/>
    <col min="6" max="6" width="12.5" style="9" customWidth="1"/>
    <col min="7" max="7" width="12.5" style="10" customWidth="1"/>
    <col min="8" max="8" width="14.25" style="10" customWidth="1"/>
    <col min="9" max="9" width="12.125" style="10" customWidth="1"/>
    <col min="10" max="10" width="29" style="10" customWidth="1"/>
    <col min="11" max="16384" width="9" style="11"/>
  </cols>
  <sheetData>
    <row r="1" spans="1:10" s="8" customFormat="1" ht="31.5" customHeight="1">
      <c r="A1" s="393" t="s">
        <v>125</v>
      </c>
      <c r="B1" s="394"/>
      <c r="C1" s="394"/>
      <c r="D1" s="394"/>
      <c r="E1" s="394"/>
      <c r="F1" s="394"/>
      <c r="G1" s="394"/>
      <c r="H1" s="394"/>
      <c r="I1" s="7"/>
      <c r="J1" s="7"/>
    </row>
    <row r="2" spans="1:10" ht="19.5" customHeight="1" thickBot="1">
      <c r="A2" s="9"/>
    </row>
    <row r="3" spans="1:10" ht="19.5" customHeight="1" thickBot="1">
      <c r="A3" s="9"/>
      <c r="B3" s="403" t="s">
        <v>0</v>
      </c>
      <c r="C3" s="404"/>
      <c r="D3" s="400" t="s">
        <v>1</v>
      </c>
      <c r="E3" s="401"/>
      <c r="F3" s="401"/>
      <c r="G3" s="402"/>
      <c r="H3" s="9"/>
      <c r="J3" s="11"/>
    </row>
    <row r="4" spans="1:10" ht="19.5" customHeight="1">
      <c r="A4" s="9"/>
      <c r="C4" s="12"/>
      <c r="D4" s="12"/>
      <c r="E4" s="12"/>
      <c r="F4" s="12"/>
      <c r="G4" s="12"/>
      <c r="H4" s="12"/>
      <c r="J4" s="11"/>
    </row>
    <row r="5" spans="1:10" ht="19.5" customHeight="1" thickBot="1">
      <c r="A5" s="13" t="s">
        <v>2</v>
      </c>
      <c r="C5" s="12"/>
      <c r="D5" s="12"/>
      <c r="E5" s="12"/>
      <c r="F5" s="12"/>
      <c r="G5" s="12"/>
      <c r="H5" s="12"/>
      <c r="J5" s="11"/>
    </row>
    <row r="6" spans="1:10" ht="19.5" customHeight="1">
      <c r="A6" s="13"/>
      <c r="B6" s="398"/>
      <c r="C6" s="399"/>
      <c r="D6" s="399"/>
      <c r="E6" s="399"/>
      <c r="F6" s="193" t="s">
        <v>3</v>
      </c>
      <c r="G6" s="12"/>
      <c r="H6" s="12"/>
      <c r="I6" s="12"/>
    </row>
    <row r="7" spans="1:10" ht="19.5" customHeight="1">
      <c r="A7" s="13"/>
      <c r="B7" s="397" t="s">
        <v>4</v>
      </c>
      <c r="C7" s="379"/>
      <c r="D7" s="379"/>
      <c r="E7" s="379"/>
      <c r="F7" s="194">
        <v>160</v>
      </c>
      <c r="G7" s="12"/>
      <c r="H7" s="12"/>
      <c r="I7" s="12"/>
    </row>
    <row r="8" spans="1:10" ht="19.5" customHeight="1">
      <c r="A8" s="13"/>
      <c r="B8" s="395" t="s">
        <v>5</v>
      </c>
      <c r="C8" s="396"/>
      <c r="D8" s="396"/>
      <c r="E8" s="396"/>
      <c r="F8" s="210">
        <f>F9+F10</f>
        <v>160</v>
      </c>
      <c r="G8" s="12"/>
      <c r="H8" s="12"/>
      <c r="I8" s="12"/>
    </row>
    <row r="9" spans="1:10" ht="19.5" customHeight="1">
      <c r="A9" s="13"/>
      <c r="B9" s="128"/>
      <c r="C9" s="389" t="s">
        <v>6</v>
      </c>
      <c r="D9" s="390"/>
      <c r="E9" s="390"/>
      <c r="F9" s="131">
        <v>80</v>
      </c>
      <c r="G9" s="12"/>
      <c r="H9" s="12"/>
      <c r="I9" s="12"/>
    </row>
    <row r="10" spans="1:10" ht="19.5" customHeight="1">
      <c r="A10" s="13"/>
      <c r="B10" s="128"/>
      <c r="C10" s="389" t="s">
        <v>7</v>
      </c>
      <c r="D10" s="390"/>
      <c r="E10" s="390"/>
      <c r="F10" s="131">
        <v>80</v>
      </c>
      <c r="G10" s="12"/>
      <c r="H10" s="12"/>
      <c r="I10" s="12"/>
    </row>
    <row r="11" spans="1:10" ht="19.5" customHeight="1" thickBot="1">
      <c r="A11" s="13"/>
      <c r="B11" s="195"/>
      <c r="C11" s="391" t="s">
        <v>8</v>
      </c>
      <c r="D11" s="392"/>
      <c r="E11" s="392"/>
      <c r="F11" s="135">
        <v>40</v>
      </c>
      <c r="G11" s="12"/>
      <c r="H11" s="12"/>
      <c r="I11" s="12"/>
    </row>
    <row r="12" spans="1:10" ht="22.5" customHeight="1">
      <c r="A12" s="13"/>
      <c r="B12" s="136" t="s">
        <v>9</v>
      </c>
      <c r="C12" s="376" t="s">
        <v>10</v>
      </c>
      <c r="D12" s="376"/>
      <c r="E12" s="376"/>
      <c r="F12" s="376"/>
      <c r="G12" s="376"/>
      <c r="H12" s="12"/>
      <c r="I12" s="12"/>
    </row>
    <row r="13" spans="1:10" ht="22.5" customHeight="1">
      <c r="A13" s="9"/>
      <c r="B13" s="136"/>
      <c r="C13" s="376"/>
      <c r="D13" s="376"/>
      <c r="E13" s="376"/>
      <c r="F13" s="376"/>
      <c r="G13" s="376"/>
      <c r="H13" s="12"/>
      <c r="J13" s="11"/>
    </row>
    <row r="14" spans="1:10" ht="24" customHeight="1">
      <c r="B14" s="41"/>
      <c r="F14" s="10"/>
      <c r="G14" s="42"/>
      <c r="H14" s="43"/>
      <c r="J14" s="11"/>
    </row>
    <row r="15" spans="1:10" ht="19.5" customHeight="1" thickBot="1">
      <c r="A15" s="13" t="s">
        <v>11</v>
      </c>
      <c r="F15" s="10"/>
      <c r="J15" s="11"/>
    </row>
    <row r="16" spans="1:10" ht="33.75" customHeight="1">
      <c r="B16" s="196"/>
      <c r="C16" s="377"/>
      <c r="D16" s="378"/>
      <c r="E16" s="197" t="s">
        <v>12</v>
      </c>
      <c r="F16" s="198" t="s">
        <v>13</v>
      </c>
      <c r="G16" s="211" t="s">
        <v>14</v>
      </c>
      <c r="H16" s="11"/>
      <c r="I16" s="11"/>
      <c r="J16" s="11"/>
    </row>
    <row r="17" spans="2:10" ht="24" customHeight="1">
      <c r="B17" s="199" t="s">
        <v>15</v>
      </c>
      <c r="C17" s="379" t="s">
        <v>16</v>
      </c>
      <c r="D17" s="380"/>
      <c r="E17" s="308"/>
      <c r="F17" s="309"/>
      <c r="G17" s="310">
        <f>ROUND(SUM($G$18:$G$20),0)</f>
        <v>12</v>
      </c>
      <c r="H17" s="11"/>
      <c r="I17" s="11"/>
      <c r="J17" s="11"/>
    </row>
    <row r="18" spans="2:10" ht="24" customHeight="1">
      <c r="B18" s="200"/>
      <c r="C18" s="385" t="s">
        <v>116</v>
      </c>
      <c r="D18" s="386"/>
      <c r="E18" s="88" t="s">
        <v>18</v>
      </c>
      <c r="F18" s="201"/>
      <c r="G18" s="307">
        <f>IF($E$18="あり",ROUNDDOWN(($F$9)*1/25,1),ROUNDDOWN($F$9*1/30,1))</f>
        <v>3.2</v>
      </c>
      <c r="H18" s="11"/>
      <c r="I18" s="11"/>
      <c r="J18" s="11"/>
    </row>
    <row r="19" spans="2:10" ht="24" customHeight="1">
      <c r="B19" s="200"/>
      <c r="C19" s="381" t="s">
        <v>17</v>
      </c>
      <c r="D19" s="382"/>
      <c r="E19" s="88" t="s">
        <v>18</v>
      </c>
      <c r="F19" s="201"/>
      <c r="G19" s="387">
        <f>IF($E$19="あり",IF($E$20="あり",ROUNDDOWN(($F$10-$F$11)*1/15,1)+ROUNDDOWN($F$11*1/6,1),ROUNDDOWN($F$10*1/15,1)),IF($E$20="あり",ROUNDDOWN(($F$10-$F$11)*1/20,1)+ROUNDDOWN($F$11*1/6,1),ROUNDDOWN($F$10*1/20,1)))</f>
        <v>9.1999999999999993</v>
      </c>
      <c r="H19" s="25"/>
      <c r="I19" s="11"/>
      <c r="J19" s="11"/>
    </row>
    <row r="20" spans="2:10" ht="24" customHeight="1">
      <c r="B20" s="200"/>
      <c r="C20" s="383" t="s">
        <v>19</v>
      </c>
      <c r="D20" s="384"/>
      <c r="E20" s="202" t="s">
        <v>18</v>
      </c>
      <c r="F20" s="203"/>
      <c r="G20" s="388"/>
      <c r="H20" s="25"/>
      <c r="I20" s="11"/>
      <c r="J20" s="11"/>
    </row>
    <row r="21" spans="2:10" ht="24" customHeight="1">
      <c r="B21" s="278" t="s">
        <v>20</v>
      </c>
      <c r="C21" s="372" t="s">
        <v>21</v>
      </c>
      <c r="D21" s="373"/>
      <c r="E21" s="4" t="s">
        <v>18</v>
      </c>
      <c r="F21" s="279"/>
      <c r="G21" s="280">
        <f>IF(E21="あり",0.8,0)</f>
        <v>0.8</v>
      </c>
      <c r="H21" s="25"/>
      <c r="I21" s="11"/>
      <c r="J21" s="11"/>
    </row>
    <row r="22" spans="2:10" ht="24" customHeight="1">
      <c r="B22" s="278" t="s">
        <v>22</v>
      </c>
      <c r="C22" s="372" t="s">
        <v>23</v>
      </c>
      <c r="D22" s="373"/>
      <c r="E22" s="4" t="s">
        <v>18</v>
      </c>
      <c r="F22" s="281">
        <v>4</v>
      </c>
      <c r="G22" s="280">
        <f>IF(E22="あり",F22,0)</f>
        <v>4</v>
      </c>
      <c r="H22" s="11"/>
      <c r="I22" s="11"/>
      <c r="J22" s="11"/>
    </row>
    <row r="23" spans="2:10" ht="24" customHeight="1">
      <c r="B23" s="199" t="s">
        <v>24</v>
      </c>
      <c r="C23" s="372" t="s">
        <v>25</v>
      </c>
      <c r="D23" s="373"/>
      <c r="E23" s="282" t="s">
        <v>18</v>
      </c>
      <c r="F23" s="283"/>
      <c r="G23" s="284">
        <f>IF(E23="あり",IF(F7&gt;=151,1.5,0.8),0)</f>
        <v>1.5</v>
      </c>
      <c r="H23" s="11"/>
      <c r="I23" s="11"/>
      <c r="J23" s="11"/>
    </row>
    <row r="24" spans="2:10" ht="24" customHeight="1">
      <c r="B24" s="199" t="s">
        <v>26</v>
      </c>
      <c r="C24" s="374" t="s">
        <v>27</v>
      </c>
      <c r="D24" s="375"/>
      <c r="E24" s="4" t="s">
        <v>18</v>
      </c>
      <c r="F24" s="283"/>
      <c r="G24" s="212">
        <f>IF(E24="あり",IF(F7&gt;=151,3,2),0)</f>
        <v>3</v>
      </c>
      <c r="H24" s="11"/>
      <c r="I24" s="11"/>
      <c r="J24" s="11"/>
    </row>
    <row r="25" spans="2:10" ht="24" customHeight="1">
      <c r="B25" s="278" t="s">
        <v>28</v>
      </c>
      <c r="C25" s="372" t="s">
        <v>29</v>
      </c>
      <c r="D25" s="373"/>
      <c r="E25" s="4" t="s">
        <v>18</v>
      </c>
      <c r="F25" s="204"/>
      <c r="G25" s="280">
        <f>IF(E25="あり",1,0)</f>
        <v>1</v>
      </c>
      <c r="H25" s="11"/>
      <c r="I25" s="11"/>
      <c r="J25" s="11"/>
    </row>
    <row r="26" spans="2:10" ht="24" customHeight="1">
      <c r="B26" s="278" t="s">
        <v>30</v>
      </c>
      <c r="C26" s="372" t="s">
        <v>31</v>
      </c>
      <c r="D26" s="373"/>
      <c r="E26" s="4" t="s">
        <v>18</v>
      </c>
      <c r="F26" s="204"/>
      <c r="G26" s="280">
        <f>IF(E26="あり",0.8,0)</f>
        <v>0.8</v>
      </c>
      <c r="H26" s="11"/>
      <c r="I26" s="11"/>
      <c r="J26" s="11"/>
    </row>
    <row r="27" spans="2:10" ht="24" customHeight="1">
      <c r="B27" s="278" t="s">
        <v>32</v>
      </c>
      <c r="C27" s="372" t="s">
        <v>33</v>
      </c>
      <c r="D27" s="373"/>
      <c r="E27" s="4" t="s">
        <v>18</v>
      </c>
      <c r="F27" s="204"/>
      <c r="G27" s="280">
        <f>IF(E27="あり",0.8,0)</f>
        <v>0.8</v>
      </c>
      <c r="H27" s="11"/>
      <c r="I27" s="11"/>
      <c r="J27" s="11"/>
    </row>
    <row r="28" spans="2:10" ht="24" customHeight="1">
      <c r="B28" s="285" t="s">
        <v>34</v>
      </c>
      <c r="C28" s="372" t="s">
        <v>35</v>
      </c>
      <c r="D28" s="373"/>
      <c r="E28" s="4" t="s">
        <v>18</v>
      </c>
      <c r="F28" s="204"/>
      <c r="G28" s="280">
        <f>IF(E28="あり",0.8,0)</f>
        <v>0.8</v>
      </c>
      <c r="H28" s="11"/>
      <c r="I28" s="11"/>
      <c r="J28" s="11"/>
    </row>
    <row r="29" spans="2:10" ht="24" customHeight="1">
      <c r="B29" s="285" t="s">
        <v>36</v>
      </c>
      <c r="C29" s="372" t="s">
        <v>37</v>
      </c>
      <c r="D29" s="373"/>
      <c r="E29" s="4" t="s">
        <v>18</v>
      </c>
      <c r="F29" s="204"/>
      <c r="G29" s="280">
        <f>IF(E29="あり",0.5,0)</f>
        <v>0.5</v>
      </c>
      <c r="H29" s="11"/>
      <c r="I29" s="11"/>
      <c r="J29" s="11"/>
    </row>
    <row r="30" spans="2:10" ht="24" customHeight="1">
      <c r="B30" s="285" t="s">
        <v>38</v>
      </c>
      <c r="C30" s="372" t="s">
        <v>39</v>
      </c>
      <c r="D30" s="373"/>
      <c r="E30" s="4" t="s">
        <v>18</v>
      </c>
      <c r="F30" s="204"/>
      <c r="G30" s="325">
        <f>IF(E30="あり",-1,0)</f>
        <v>-1</v>
      </c>
      <c r="H30" s="11"/>
      <c r="I30" s="11"/>
      <c r="J30" s="11"/>
    </row>
    <row r="31" spans="2:10" ht="24" customHeight="1">
      <c r="B31" s="321" t="s">
        <v>40</v>
      </c>
      <c r="C31" s="367" t="s">
        <v>126</v>
      </c>
      <c r="D31" s="368"/>
      <c r="E31" s="322" t="s">
        <v>99</v>
      </c>
      <c r="F31" s="323">
        <v>3</v>
      </c>
      <c r="G31" s="324">
        <f>IF(E31="該当",-F31,0)</f>
        <v>-3</v>
      </c>
      <c r="H31" s="11"/>
      <c r="I31" s="11"/>
      <c r="J31" s="11"/>
    </row>
    <row r="32" spans="2:10" ht="24" customHeight="1" thickBot="1">
      <c r="B32" s="369" t="s">
        <v>41</v>
      </c>
      <c r="C32" s="370"/>
      <c r="D32" s="371"/>
      <c r="E32" s="205"/>
      <c r="F32" s="205"/>
      <c r="G32" s="213">
        <f>IF(F7&lt;=30,0.4,IF(F7&lt;=300,1.4,0.4))</f>
        <v>1.4</v>
      </c>
      <c r="H32" s="11"/>
      <c r="I32" s="11"/>
      <c r="J32" s="11"/>
    </row>
    <row r="33" spans="1:10" ht="24" customHeight="1" thickTop="1" thickBot="1">
      <c r="B33" s="206" t="s">
        <v>42</v>
      </c>
      <c r="C33" s="207"/>
      <c r="D33" s="207"/>
      <c r="E33" s="207"/>
      <c r="F33" s="154"/>
      <c r="G33" s="214">
        <f>SUM(G17,G21:G32)</f>
        <v>22.6</v>
      </c>
      <c r="H33" s="11"/>
      <c r="I33" s="11"/>
      <c r="J33" s="11"/>
    </row>
    <row r="34" spans="1:10" ht="24" customHeight="1" thickBot="1">
      <c r="B34" s="38" t="s">
        <v>43</v>
      </c>
      <c r="C34" s="39"/>
      <c r="D34" s="39"/>
      <c r="E34" s="39"/>
      <c r="F34" s="186"/>
      <c r="G34" s="292">
        <f>ROUND(G33,0)</f>
        <v>23</v>
      </c>
      <c r="I34" s="11"/>
      <c r="J34" s="11"/>
    </row>
    <row r="35" spans="1:10" ht="24" customHeight="1">
      <c r="B35" s="295" t="s">
        <v>44</v>
      </c>
      <c r="C35" s="296"/>
      <c r="D35" s="296"/>
      <c r="E35" s="296"/>
      <c r="F35" s="297"/>
      <c r="G35" s="298"/>
      <c r="I35" s="11"/>
      <c r="J35" s="11"/>
    </row>
    <row r="36" spans="1:10" ht="24" customHeight="1">
      <c r="B36" s="41"/>
      <c r="F36" s="10"/>
      <c r="G36" s="42"/>
      <c r="H36" s="43"/>
      <c r="J36" s="11"/>
    </row>
    <row r="37" spans="1:10" ht="24" customHeight="1" thickBot="1">
      <c r="A37" s="295" t="s">
        <v>127</v>
      </c>
      <c r="F37" s="333" t="s">
        <v>124</v>
      </c>
      <c r="G37" s="334" t="s">
        <v>123</v>
      </c>
      <c r="I37" s="208"/>
      <c r="J37" s="11"/>
    </row>
    <row r="38" spans="1:10" ht="24" customHeight="1" thickBot="1">
      <c r="B38" s="49" t="s">
        <v>46</v>
      </c>
      <c r="C38" s="46"/>
      <c r="D38" s="46"/>
      <c r="E38" s="46"/>
      <c r="F38" s="81">
        <f>IF(ROUND(G34/3,0)=0,1,ROUND(G34/3,0))</f>
        <v>8</v>
      </c>
      <c r="G38" s="292">
        <v>5</v>
      </c>
      <c r="I38" s="11"/>
      <c r="J38" s="11"/>
    </row>
    <row r="39" spans="1:10" ht="24" customHeight="1" thickBot="1">
      <c r="B39" s="49" t="s">
        <v>47</v>
      </c>
      <c r="C39" s="46"/>
      <c r="D39" s="46"/>
      <c r="E39" s="46"/>
      <c r="F39" s="81">
        <f>IF(ROUND(G34/5,0)=0,1,ROUND(G34/5,0))</f>
        <v>5</v>
      </c>
      <c r="G39" s="292">
        <v>5</v>
      </c>
      <c r="I39" s="11"/>
      <c r="J39" s="11"/>
    </row>
    <row r="40" spans="1:10" ht="33.75" customHeight="1">
      <c r="F40" s="10"/>
      <c r="H40" s="43"/>
      <c r="J40" s="11"/>
    </row>
    <row r="41" spans="1:10" ht="27" customHeight="1" thickBot="1">
      <c r="A41" s="13" t="s">
        <v>48</v>
      </c>
      <c r="F41" s="10"/>
      <c r="J41" s="11"/>
    </row>
    <row r="42" spans="1:10" ht="21" customHeight="1" thickBot="1">
      <c r="B42" s="49"/>
      <c r="C42" s="335">
        <v>51790</v>
      </c>
      <c r="D42" s="46" t="s">
        <v>49</v>
      </c>
      <c r="E42" s="46"/>
      <c r="F42" s="363">
        <f>IF(G38="","実人数を入力してください",IF(ISBLANK(G38), C42*F38, IF(F38 &lt; G38, C42*F38, C42*G38)))</f>
        <v>258950</v>
      </c>
      <c r="G42" s="364"/>
      <c r="I42" s="11"/>
      <c r="J42" s="11"/>
    </row>
    <row r="43" spans="1:10" ht="21" customHeight="1" thickBot="1">
      <c r="B43" s="52"/>
      <c r="C43" s="336">
        <v>6470</v>
      </c>
      <c r="D43" s="54" t="s">
        <v>50</v>
      </c>
      <c r="E43" s="54"/>
      <c r="F43" s="361">
        <f>IF(G39="","実人数を入力してください",IF(ISBLANK(G39), C43*F39, IF(F39 &lt; G39, C43*F39, C43*G39)))</f>
        <v>32350</v>
      </c>
      <c r="G43" s="362"/>
      <c r="I43" s="11"/>
    </row>
    <row r="44" spans="1:10" ht="21" customHeight="1" thickTop="1" thickBot="1">
      <c r="B44" s="56"/>
      <c r="C44" s="291" t="s">
        <v>51</v>
      </c>
      <c r="D44" s="58"/>
      <c r="E44" s="58"/>
      <c r="F44" s="365">
        <f>SUM(F42:G43)</f>
        <v>291300</v>
      </c>
      <c r="G44" s="366"/>
    </row>
    <row r="45" spans="1:10" ht="33.75" customHeight="1"/>
    <row r="46" spans="1:10" ht="33.75" customHeight="1"/>
    <row r="47" spans="1:10" ht="33.75" customHeight="1"/>
    <row r="48" spans="1:10" ht="33.75" customHeight="1"/>
    <row r="49" ht="33.75" customHeight="1"/>
    <row r="50" ht="33.75" customHeight="1"/>
    <row r="51" ht="33.75" customHeight="1"/>
    <row r="52" ht="33.75" customHeight="1"/>
    <row r="53" ht="33.75" customHeight="1"/>
    <row r="54" ht="33.75" customHeight="1"/>
    <row r="55" ht="33.75" customHeight="1"/>
    <row r="56" ht="33.75" customHeight="1"/>
    <row r="57" ht="33.75" customHeight="1"/>
    <row r="58" ht="33.7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sheetData>
  <mergeCells count="31">
    <mergeCell ref="C10:E10"/>
    <mergeCell ref="C11:E11"/>
    <mergeCell ref="A1:H1"/>
    <mergeCell ref="B8:E8"/>
    <mergeCell ref="B7:E7"/>
    <mergeCell ref="B6:E6"/>
    <mergeCell ref="C9:E9"/>
    <mergeCell ref="D3:G3"/>
    <mergeCell ref="B3:C3"/>
    <mergeCell ref="C12:G13"/>
    <mergeCell ref="C16:D16"/>
    <mergeCell ref="C17:D17"/>
    <mergeCell ref="C19:D19"/>
    <mergeCell ref="C20:D20"/>
    <mergeCell ref="C18:D18"/>
    <mergeCell ref="G19:G20"/>
    <mergeCell ref="C21:D21"/>
    <mergeCell ref="C22:D22"/>
    <mergeCell ref="C23:D23"/>
    <mergeCell ref="C24:D24"/>
    <mergeCell ref="C25:D25"/>
    <mergeCell ref="C26:D26"/>
    <mergeCell ref="C27:D27"/>
    <mergeCell ref="C28:D28"/>
    <mergeCell ref="C29:D29"/>
    <mergeCell ref="C30:D30"/>
    <mergeCell ref="F43:G43"/>
    <mergeCell ref="F42:G42"/>
    <mergeCell ref="F44:G44"/>
    <mergeCell ref="C31:D31"/>
    <mergeCell ref="B32:D32"/>
  </mergeCells>
  <phoneticPr fontId="1"/>
  <dataValidations count="2">
    <dataValidation type="list" allowBlank="1" showInputMessage="1" showErrorMessage="1" sqref="E31" xr:uid="{00000000-0002-0000-0000-000000000000}">
      <formula1>"　,該当,非該当"</formula1>
    </dataValidation>
    <dataValidation type="list" allowBlank="1" showInputMessage="1" showErrorMessage="1" sqref="E18:E30" xr:uid="{00000000-0002-0000-0000-000001000000}">
      <formula1>"　,あり,なし"</formula1>
    </dataValidation>
  </dataValidations>
  <pageMargins left="0.92" right="0.56000000000000005" top="0.75" bottom="0.37" header="0.3" footer="0.3"/>
  <pageSetup paperSize="9" scale="76"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22"/>
  <sheetViews>
    <sheetView view="pageBreakPreview" zoomScale="70" zoomScaleNormal="70" zoomScaleSheetLayoutView="70" workbookViewId="0">
      <selection activeCell="E7" sqref="E7"/>
    </sheetView>
  </sheetViews>
  <sheetFormatPr defaultColWidth="9" defaultRowHeight="18.75"/>
  <cols>
    <col min="1" max="1" width="2.875" style="11" customWidth="1"/>
    <col min="2" max="2" width="3" style="9" customWidth="1"/>
    <col min="3" max="3" width="12.125" style="9" customWidth="1"/>
    <col min="4" max="4" width="20.625" style="9" customWidth="1"/>
    <col min="5" max="5" width="10" style="9" customWidth="1"/>
    <col min="6" max="6" width="10" style="10" customWidth="1"/>
    <col min="7" max="7" width="10.625" style="10" hidden="1" customWidth="1"/>
    <col min="8" max="8" width="13.125" style="10" customWidth="1"/>
    <col min="9" max="9" width="10.125" style="10" customWidth="1"/>
    <col min="10" max="11" width="10.125" style="11" hidden="1" customWidth="1"/>
    <col min="12" max="12" width="12.375" style="11" customWidth="1"/>
    <col min="13" max="16384" width="9" style="11"/>
  </cols>
  <sheetData>
    <row r="1" spans="1:13" s="8" customFormat="1" ht="23.25" customHeight="1">
      <c r="A1" s="339" t="s">
        <v>128</v>
      </c>
      <c r="B1" s="6"/>
      <c r="C1" s="6"/>
      <c r="D1" s="6"/>
      <c r="E1" s="6"/>
      <c r="F1" s="7"/>
      <c r="G1" s="7"/>
      <c r="H1" s="7"/>
      <c r="I1" s="7"/>
    </row>
    <row r="2" spans="1:13" ht="19.5" customHeight="1" thickBot="1">
      <c r="A2" s="9"/>
    </row>
    <row r="3" spans="1:13" ht="19.5" customHeight="1" thickBot="1">
      <c r="A3" s="9"/>
      <c r="B3" s="403" t="s">
        <v>0</v>
      </c>
      <c r="C3" s="403"/>
      <c r="D3" s="400" t="s">
        <v>52</v>
      </c>
      <c r="E3" s="401"/>
      <c r="F3" s="401"/>
      <c r="G3" s="401"/>
      <c r="H3" s="402"/>
    </row>
    <row r="4" spans="1:13" ht="19.5" customHeight="1">
      <c r="A4" s="9"/>
      <c r="E4" s="12"/>
      <c r="F4" s="12"/>
      <c r="G4" s="12"/>
      <c r="H4" s="12"/>
    </row>
    <row r="5" spans="1:13" ht="19.5" customHeight="1" thickBot="1">
      <c r="A5" s="13" t="s">
        <v>2</v>
      </c>
      <c r="E5" s="12"/>
      <c r="F5" s="12"/>
      <c r="G5" s="12"/>
      <c r="H5" s="12"/>
    </row>
    <row r="6" spans="1:13" ht="19.5" customHeight="1" thickBot="1">
      <c r="A6" s="13"/>
      <c r="B6" s="17"/>
      <c r="C6" s="137"/>
      <c r="D6" s="137"/>
      <c r="E6" s="176" t="s">
        <v>53</v>
      </c>
      <c r="F6" s="174" t="s">
        <v>3</v>
      </c>
      <c r="G6" s="12"/>
      <c r="H6" s="12"/>
      <c r="I6" s="12"/>
      <c r="J6" s="174" t="s">
        <v>3</v>
      </c>
    </row>
    <row r="7" spans="1:13" ht="37.5" customHeight="1" thickBot="1">
      <c r="A7" s="13"/>
      <c r="B7" s="397" t="s">
        <v>54</v>
      </c>
      <c r="C7" s="379"/>
      <c r="D7" s="379"/>
      <c r="E7" s="216" t="s">
        <v>142</v>
      </c>
      <c r="F7" s="14" t="s">
        <v>55</v>
      </c>
      <c r="G7" s="12"/>
      <c r="H7" s="12"/>
      <c r="I7" s="12"/>
      <c r="J7" s="242" t="str">
        <f>IF(E7="あり","分園分を記入","入力不要")</f>
        <v>入力不要</v>
      </c>
      <c r="M7"/>
    </row>
    <row r="8" spans="1:13" ht="19.5" customHeight="1" thickBot="1">
      <c r="A8" s="13"/>
      <c r="B8" s="397" t="s">
        <v>4</v>
      </c>
      <c r="C8" s="379"/>
      <c r="D8" s="379"/>
      <c r="E8" s="379"/>
      <c r="F8" s="1">
        <v>100</v>
      </c>
      <c r="G8" s="12"/>
      <c r="H8" s="12"/>
      <c r="I8" s="12"/>
      <c r="J8" s="1">
        <v>20</v>
      </c>
    </row>
    <row r="9" spans="1:13" ht="19.5" customHeight="1" thickBot="1">
      <c r="A9" s="13"/>
      <c r="B9" s="395" t="s">
        <v>56</v>
      </c>
      <c r="C9" s="396"/>
      <c r="D9" s="396"/>
      <c r="E9" s="396"/>
      <c r="F9" s="165">
        <f>F10+F11+F12+F14</f>
        <v>120</v>
      </c>
      <c r="H9" s="12"/>
      <c r="I9" s="12"/>
      <c r="J9" s="165">
        <f>J10+J11+J12+J14</f>
        <v>20</v>
      </c>
    </row>
    <row r="10" spans="1:13" ht="19.5" customHeight="1">
      <c r="A10" s="13"/>
      <c r="B10" s="128"/>
      <c r="C10" s="389" t="s">
        <v>6</v>
      </c>
      <c r="D10" s="390"/>
      <c r="E10" s="129"/>
      <c r="F10" s="130">
        <v>40</v>
      </c>
      <c r="G10" s="12"/>
      <c r="H10" s="12"/>
      <c r="I10" s="12"/>
      <c r="J10" s="130">
        <v>5</v>
      </c>
    </row>
    <row r="11" spans="1:13" ht="19.5" customHeight="1">
      <c r="A11" s="13"/>
      <c r="B11" s="128"/>
      <c r="C11" s="389" t="s">
        <v>57</v>
      </c>
      <c r="D11" s="390"/>
      <c r="E11" s="129"/>
      <c r="F11" s="131">
        <v>30</v>
      </c>
      <c r="G11" s="12"/>
      <c r="H11" s="12"/>
      <c r="I11" s="12"/>
      <c r="J11" s="131">
        <v>5</v>
      </c>
    </row>
    <row r="12" spans="1:13" ht="19.149999999999999" customHeight="1">
      <c r="A12" s="13"/>
      <c r="B12" s="128"/>
      <c r="C12" s="390" t="s">
        <v>58</v>
      </c>
      <c r="D12" s="422"/>
      <c r="E12" s="129"/>
      <c r="F12" s="340">
        <v>40</v>
      </c>
      <c r="G12" s="12"/>
      <c r="H12" s="12"/>
      <c r="I12" s="12"/>
      <c r="J12" s="340">
        <v>5</v>
      </c>
    </row>
    <row r="13" spans="1:13" ht="19.149999999999999" customHeight="1">
      <c r="A13" s="13"/>
      <c r="B13" s="128"/>
      <c r="C13" s="413" t="s">
        <v>121</v>
      </c>
      <c r="D13" s="414"/>
      <c r="E13" s="316"/>
      <c r="F13" s="341">
        <v>30</v>
      </c>
      <c r="G13" s="12"/>
      <c r="H13" s="12"/>
      <c r="I13" s="12"/>
      <c r="J13" s="341">
        <v>2</v>
      </c>
    </row>
    <row r="14" spans="1:13" ht="19.149999999999999" customHeight="1" thickBot="1">
      <c r="A14" s="9"/>
      <c r="B14" s="91"/>
      <c r="C14" s="391" t="s">
        <v>59</v>
      </c>
      <c r="D14" s="392"/>
      <c r="E14" s="134"/>
      <c r="F14" s="135">
        <v>10</v>
      </c>
      <c r="G14" s="12"/>
      <c r="H14" s="12"/>
      <c r="J14" s="342">
        <v>5</v>
      </c>
    </row>
    <row r="15" spans="1:13" ht="42.75" customHeight="1">
      <c r="A15" s="9"/>
      <c r="B15" s="215" t="s">
        <v>9</v>
      </c>
      <c r="C15" s="376" t="s">
        <v>10</v>
      </c>
      <c r="D15" s="376"/>
      <c r="E15" s="376"/>
      <c r="F15" s="376"/>
      <c r="G15" s="376"/>
      <c r="H15" s="376"/>
      <c r="I15" s="376"/>
      <c r="J15" s="376"/>
      <c r="K15" s="376"/>
      <c r="L15" s="376"/>
    </row>
    <row r="16" spans="1:13" ht="19.5" customHeight="1">
      <c r="A16" s="9"/>
      <c r="B16" s="136"/>
      <c r="C16" s="262"/>
      <c r="D16" s="262"/>
      <c r="E16" s="262"/>
      <c r="F16" s="262"/>
      <c r="G16" s="262"/>
      <c r="H16" s="262"/>
    </row>
    <row r="17" spans="1:12" ht="19.5" customHeight="1" thickBot="1">
      <c r="A17" s="13" t="s">
        <v>11</v>
      </c>
    </row>
    <row r="18" spans="1:12" ht="19.5" customHeight="1" thickBot="1">
      <c r="A18" s="13"/>
      <c r="E18" s="405" t="s">
        <v>60</v>
      </c>
      <c r="F18" s="406"/>
      <c r="G18" s="406"/>
      <c r="H18" s="407"/>
      <c r="I18" s="408" t="str">
        <f>IF(E7="あり","分園分","選択不要")</f>
        <v>選択不要</v>
      </c>
      <c r="J18" s="409"/>
      <c r="K18" s="409"/>
      <c r="L18" s="410"/>
    </row>
    <row r="19" spans="1:12" ht="33" customHeight="1">
      <c r="B19" s="17"/>
      <c r="C19" s="137"/>
      <c r="D19" s="137"/>
      <c r="E19" s="244" t="s">
        <v>12</v>
      </c>
      <c r="F19" s="245"/>
      <c r="G19" s="420" t="s">
        <v>14</v>
      </c>
      <c r="H19" s="421"/>
      <c r="I19" s="217" t="s">
        <v>12</v>
      </c>
      <c r="J19" s="218"/>
      <c r="K19" s="411" t="s">
        <v>14</v>
      </c>
      <c r="L19" s="412"/>
    </row>
    <row r="20" spans="1:12" ht="19.5" customHeight="1">
      <c r="B20" s="20" t="s">
        <v>15</v>
      </c>
      <c r="C20" s="137" t="s">
        <v>61</v>
      </c>
      <c r="D20" s="177"/>
      <c r="E20" s="234"/>
      <c r="F20" s="178"/>
      <c r="G20" s="172"/>
      <c r="H20" s="189"/>
      <c r="I20" s="312"/>
      <c r="J20" s="313"/>
      <c r="K20" s="223"/>
      <c r="L20" s="224"/>
    </row>
    <row r="21" spans="1:12" ht="19.5" customHeight="1">
      <c r="B21" s="23"/>
      <c r="C21" s="142" t="s">
        <v>62</v>
      </c>
      <c r="D21" s="231"/>
      <c r="E21" s="235"/>
      <c r="F21" s="168">
        <f>F10</f>
        <v>40</v>
      </c>
      <c r="G21" s="62">
        <f>IF(E22="なし",F21/30,F21/25)</f>
        <v>1.6</v>
      </c>
      <c r="H21" s="109">
        <f>ROUNDDOWN(G21,1)</f>
        <v>1.6</v>
      </c>
      <c r="I21" s="142"/>
      <c r="J21" s="168">
        <f>IF(E7="あり",J10,0)</f>
        <v>0</v>
      </c>
      <c r="K21" s="108">
        <f>IF(I22="なし",J21/30,J21/25)</f>
        <v>0</v>
      </c>
      <c r="L21" s="109">
        <f>ROUNDDOWN(K21,1)</f>
        <v>0</v>
      </c>
    </row>
    <row r="22" spans="1:12" ht="19.5" customHeight="1">
      <c r="B22" s="23"/>
      <c r="C22" s="142" t="s">
        <v>117</v>
      </c>
      <c r="D22" s="231"/>
      <c r="E22" s="237" t="s">
        <v>18</v>
      </c>
      <c r="F22" s="311"/>
      <c r="G22" s="106"/>
      <c r="H22" s="107"/>
      <c r="I22" s="265" t="str">
        <f>E22</f>
        <v>あり</v>
      </c>
      <c r="J22" s="311"/>
      <c r="K22" s="106"/>
      <c r="L22" s="107"/>
    </row>
    <row r="23" spans="1:12" ht="19.5" customHeight="1">
      <c r="B23" s="23"/>
      <c r="C23" s="24" t="s">
        <v>63</v>
      </c>
      <c r="D23" s="232"/>
      <c r="E23" s="236"/>
      <c r="F23" s="167">
        <f>F11</f>
        <v>30</v>
      </c>
      <c r="G23" s="62">
        <f>IF(E24="なし",F23/20,F23/15)</f>
        <v>2</v>
      </c>
      <c r="H23" s="63">
        <f>ROUNDDOWN(G23,1)</f>
        <v>2</v>
      </c>
      <c r="I23" s="9"/>
      <c r="J23" s="168">
        <f>IF(E7="あり",J11,0)</f>
        <v>0</v>
      </c>
      <c r="K23" s="62">
        <f>IF(I24="なし",J23/20,J23/15)</f>
        <v>0</v>
      </c>
      <c r="L23" s="63">
        <f>ROUNDDOWN(K23,1)</f>
        <v>0</v>
      </c>
    </row>
    <row r="24" spans="1:12" ht="19.5" customHeight="1">
      <c r="B24" s="23"/>
      <c r="C24" s="24" t="s">
        <v>64</v>
      </c>
      <c r="D24" s="232"/>
      <c r="E24" s="237" t="s">
        <v>18</v>
      </c>
      <c r="F24" s="141"/>
      <c r="G24" s="170"/>
      <c r="H24" s="171"/>
      <c r="I24" s="265" t="str">
        <f>E24</f>
        <v>あり</v>
      </c>
      <c r="J24" s="141"/>
      <c r="K24" s="170"/>
      <c r="L24" s="171"/>
    </row>
    <row r="25" spans="1:12" ht="19.5" customHeight="1">
      <c r="B25" s="23"/>
      <c r="C25" s="24" t="s">
        <v>58</v>
      </c>
      <c r="D25" s="232"/>
      <c r="E25" s="238"/>
      <c r="F25" s="167">
        <f>F12</f>
        <v>40</v>
      </c>
      <c r="G25" s="62">
        <f>IF(E26="なし",F25*1/6,(F25-F13)*1/6+F13*1/5)</f>
        <v>7.666666666666667</v>
      </c>
      <c r="H25" s="63">
        <f>ROUNDDOWN(G25,1)</f>
        <v>7.6</v>
      </c>
      <c r="I25" s="24"/>
      <c r="J25" s="168">
        <f>IF(E7="あり",J12,0)</f>
        <v>0</v>
      </c>
      <c r="K25" s="357" t="str">
        <f>IF(OR(E7="なし",TRIM(E7)=""), "0.00", IF(I26="なし", J25*1/6, (J25-J13)*1/6 + J13*1/5))</f>
        <v>0.00</v>
      </c>
      <c r="L25" s="63">
        <f>ROUNDDOWN(K25,1)</f>
        <v>0</v>
      </c>
    </row>
    <row r="26" spans="1:12" ht="19.5" customHeight="1">
      <c r="B26" s="23"/>
      <c r="C26" s="343" t="s">
        <v>122</v>
      </c>
      <c r="D26" s="317"/>
      <c r="E26" s="344" t="s">
        <v>18</v>
      </c>
      <c r="F26" s="326"/>
      <c r="G26" s="327"/>
      <c r="H26" s="328"/>
      <c r="I26" s="265" t="str">
        <f>E26</f>
        <v>あり</v>
      </c>
      <c r="J26" s="329"/>
      <c r="K26" s="327"/>
      <c r="L26" s="328"/>
    </row>
    <row r="27" spans="1:12" ht="19.5" customHeight="1" thickBot="1">
      <c r="B27" s="23"/>
      <c r="C27" s="90" t="s">
        <v>59</v>
      </c>
      <c r="D27" s="233"/>
      <c r="E27" s="221"/>
      <c r="F27" s="169">
        <f>F14</f>
        <v>10</v>
      </c>
      <c r="G27" s="64">
        <f>F27*1/3</f>
        <v>3.3333333333333335</v>
      </c>
      <c r="H27" s="65">
        <f>ROUNDDOWN(G27,1)</f>
        <v>3.3</v>
      </c>
      <c r="I27" s="221"/>
      <c r="J27" s="169">
        <f>IF(E7="あり",J14,0)</f>
        <v>0</v>
      </c>
      <c r="K27" s="64">
        <f>J27*1/3</f>
        <v>0</v>
      </c>
      <c r="L27" s="65">
        <f>ROUNDDOWN(K27,1)</f>
        <v>0</v>
      </c>
    </row>
    <row r="28" spans="1:12" ht="19.5" customHeight="1" thickTop="1">
      <c r="B28" s="26"/>
      <c r="C28" s="91" t="s">
        <v>65</v>
      </c>
      <c r="D28" s="26"/>
      <c r="E28" s="239"/>
      <c r="F28" s="179"/>
      <c r="G28" s="66"/>
      <c r="H28" s="67">
        <f>ROUND(SUM(H21:H27),0)</f>
        <v>15</v>
      </c>
      <c r="J28" s="222"/>
      <c r="K28" s="66"/>
      <c r="L28" s="67">
        <f>ROUND(SUM(L21:L27),0)</f>
        <v>0</v>
      </c>
    </row>
    <row r="29" spans="1:12" ht="19.5" customHeight="1">
      <c r="B29" s="29" t="s">
        <v>20</v>
      </c>
      <c r="C29" s="144" t="s">
        <v>129</v>
      </c>
      <c r="D29" s="177"/>
      <c r="E29" s="240" t="s">
        <v>18</v>
      </c>
      <c r="F29" s="178"/>
      <c r="G29" s="68"/>
      <c r="H29" s="69">
        <f>IF(E29="あり",1.4,0)</f>
        <v>1.4</v>
      </c>
      <c r="I29" s="147" t="s">
        <v>18</v>
      </c>
      <c r="J29" s="178"/>
      <c r="K29" s="68"/>
      <c r="L29" s="69">
        <f>IF(E7="あり",IF(I29="あり",1.4,0),0)</f>
        <v>0</v>
      </c>
    </row>
    <row r="30" spans="1:12" ht="19.5" customHeight="1">
      <c r="B30" s="29" t="s">
        <v>22</v>
      </c>
      <c r="C30" s="144" t="s">
        <v>67</v>
      </c>
      <c r="D30" s="177"/>
      <c r="E30" s="240" t="s">
        <v>18</v>
      </c>
      <c r="F30" s="178"/>
      <c r="G30" s="68"/>
      <c r="H30" s="69">
        <f>IF(E30="あり",1,0)</f>
        <v>1</v>
      </c>
      <c r="I30" s="418" t="str">
        <f>IF($E$7="あり","本園分で選択","－")</f>
        <v>－</v>
      </c>
      <c r="J30" s="419"/>
      <c r="K30" s="223"/>
      <c r="L30" s="224"/>
    </row>
    <row r="31" spans="1:12" ht="19.5" customHeight="1">
      <c r="B31" s="29" t="s">
        <v>24</v>
      </c>
      <c r="C31" s="345" t="s">
        <v>130</v>
      </c>
      <c r="D31" s="177"/>
      <c r="E31" s="240" t="s">
        <v>18</v>
      </c>
      <c r="F31" s="178"/>
      <c r="G31" s="68"/>
      <c r="H31" s="69">
        <f>IF(E31="あり",0.3,0)</f>
        <v>0.3</v>
      </c>
      <c r="I31" s="418" t="str">
        <f t="shared" ref="I31:I34" si="0">IF($E$7="あり","本園分で選択","－")</f>
        <v>－</v>
      </c>
      <c r="J31" s="419"/>
      <c r="K31" s="223"/>
      <c r="L31" s="224"/>
    </row>
    <row r="32" spans="1:12" ht="19.5" customHeight="1" thickBot="1">
      <c r="B32" s="29" t="s">
        <v>26</v>
      </c>
      <c r="C32" s="144" t="s">
        <v>68</v>
      </c>
      <c r="D32" s="177"/>
      <c r="E32" s="240" t="s">
        <v>18</v>
      </c>
      <c r="F32" s="299"/>
      <c r="G32" s="68"/>
      <c r="H32" s="69">
        <f>IF(E32="あり",0.5,0)</f>
        <v>0.5</v>
      </c>
      <c r="I32" s="418" t="str">
        <f t="shared" si="0"/>
        <v>－</v>
      </c>
      <c r="J32" s="419"/>
      <c r="K32" s="223"/>
      <c r="L32" s="224"/>
    </row>
    <row r="33" spans="1:12" ht="19.5" customHeight="1" thickBot="1">
      <c r="B33" s="29" t="s">
        <v>28</v>
      </c>
      <c r="C33" s="144" t="s">
        <v>69</v>
      </c>
      <c r="D33" s="177"/>
      <c r="E33" s="254" t="s">
        <v>18</v>
      </c>
      <c r="F33" s="1">
        <v>2</v>
      </c>
      <c r="G33" s="68"/>
      <c r="H33" s="69">
        <f>IF(E33="あり",F33,0)</f>
        <v>2</v>
      </c>
      <c r="I33" s="418" t="str">
        <f t="shared" si="0"/>
        <v>－</v>
      </c>
      <c r="J33" s="419"/>
      <c r="K33" s="223"/>
      <c r="L33" s="224"/>
    </row>
    <row r="34" spans="1:12" ht="19.5" customHeight="1">
      <c r="B34" s="29" t="s">
        <v>70</v>
      </c>
      <c r="C34" s="379" t="s">
        <v>37</v>
      </c>
      <c r="D34" s="417"/>
      <c r="E34" s="240" t="s">
        <v>18</v>
      </c>
      <c r="F34" s="300"/>
      <c r="G34" s="68"/>
      <c r="H34" s="69">
        <f>IF(E34="あり",0.6,0)</f>
        <v>0.6</v>
      </c>
      <c r="I34" s="415" t="str">
        <f t="shared" si="0"/>
        <v>－</v>
      </c>
      <c r="J34" s="416"/>
      <c r="K34" s="272"/>
      <c r="L34" s="273"/>
    </row>
    <row r="35" spans="1:12" ht="19.5" customHeight="1" thickBot="1">
      <c r="B35" s="180" t="s">
        <v>71</v>
      </c>
      <c r="C35" s="181"/>
      <c r="D35" s="181"/>
      <c r="E35" s="241"/>
      <c r="F35" s="182"/>
      <c r="G35" s="190"/>
      <c r="H35" s="191">
        <f>IF(F8&lt;=20,1.5,IF(F8&lt;=40,1.9,IF(F8&lt;=90,2.5,IF(F8&lt;=150,2.3,IF(F8&gt;=151,3.3,0)))))</f>
        <v>2.2999999999999998</v>
      </c>
      <c r="I35" s="225"/>
      <c r="J35" s="226"/>
      <c r="K35" s="227"/>
      <c r="L35" s="72">
        <f>IF(E7="あり",IF(J8&lt;=40,1.5,IF(J8&lt;=90,2.5,IF(J8&lt;=150,2.3,IF(J8&gt;=151,3.3,0)))),0)</f>
        <v>0</v>
      </c>
    </row>
    <row r="36" spans="1:12" ht="19.5" customHeight="1" thickTop="1" thickBot="1">
      <c r="B36" s="36" t="s">
        <v>42</v>
      </c>
      <c r="C36" s="41"/>
      <c r="D36" s="41"/>
      <c r="E36" s="236"/>
      <c r="F36" s="183"/>
      <c r="G36" s="73"/>
      <c r="H36" s="74">
        <f>SUM(H35,H28,H29:H34)</f>
        <v>23.1</v>
      </c>
      <c r="J36" s="220"/>
      <c r="K36" s="219"/>
      <c r="L36" s="74">
        <f>SUM(L28,L29,,L35)</f>
        <v>0</v>
      </c>
    </row>
    <row r="37" spans="1:12" ht="19.5" customHeight="1" thickBot="1">
      <c r="B37" s="38" t="s">
        <v>43</v>
      </c>
      <c r="C37" s="184"/>
      <c r="D37" s="184"/>
      <c r="E37" s="209"/>
      <c r="F37" s="185"/>
      <c r="G37" s="75"/>
      <c r="H37" s="192">
        <f>ROUND(H36,0)</f>
        <v>23</v>
      </c>
      <c r="I37" s="228"/>
      <c r="J37" s="229"/>
      <c r="K37" s="230"/>
      <c r="L37" s="192">
        <f>ROUND(L36,0)</f>
        <v>0</v>
      </c>
    </row>
    <row r="38" spans="1:12" ht="19.5" customHeight="1">
      <c r="B38" s="41"/>
      <c r="C38" s="41"/>
      <c r="D38" s="41"/>
      <c r="H38" s="42"/>
      <c r="I38" s="43"/>
    </row>
    <row r="39" spans="1:12" ht="19.5" customHeight="1" thickBot="1">
      <c r="A39" s="295" t="s">
        <v>127</v>
      </c>
      <c r="G39" s="44"/>
      <c r="H39" s="333" t="s">
        <v>124</v>
      </c>
      <c r="I39" s="334" t="s">
        <v>123</v>
      </c>
    </row>
    <row r="40" spans="1:12" ht="19.5" customHeight="1" thickBot="1">
      <c r="B40" s="49" t="s">
        <v>46</v>
      </c>
      <c r="C40" s="46"/>
      <c r="D40" s="46"/>
      <c r="E40" s="39"/>
      <c r="F40" s="305"/>
      <c r="G40" s="303">
        <f>(H37+L37)/3</f>
        <v>7.666666666666667</v>
      </c>
      <c r="H40" s="301">
        <f>IF(ROUND(G40,0)=0,1,ROUND(G40,0))</f>
        <v>8</v>
      </c>
      <c r="I40" s="292">
        <v>5</v>
      </c>
    </row>
    <row r="41" spans="1:12" ht="19.5" customHeight="1" thickBot="1">
      <c r="B41" s="48" t="s">
        <v>47</v>
      </c>
      <c r="C41" s="287"/>
      <c r="D41" s="287"/>
      <c r="E41" s="288"/>
      <c r="F41" s="306"/>
      <c r="G41" s="304">
        <f>(H37+L37)/5</f>
        <v>4.5999999999999996</v>
      </c>
      <c r="H41" s="302">
        <f>IF(ROUND(G41,0)=0,1,ROUND(G41,0))</f>
        <v>5</v>
      </c>
      <c r="I41" s="292">
        <v>5</v>
      </c>
    </row>
    <row r="42" spans="1:12" ht="19.5" customHeight="1">
      <c r="H42" s="43"/>
    </row>
    <row r="43" spans="1:12" ht="19.5" customHeight="1" thickBot="1">
      <c r="A43" s="13" t="s">
        <v>48</v>
      </c>
    </row>
    <row r="44" spans="1:12" ht="19.5" customHeight="1" thickBot="1">
      <c r="B44" s="49"/>
      <c r="C44" s="346">
        <v>49060</v>
      </c>
      <c r="D44" s="46" t="s">
        <v>72</v>
      </c>
      <c r="E44" s="39"/>
      <c r="F44" s="186"/>
      <c r="G44" s="99"/>
      <c r="H44" s="337">
        <f>IF(I40="","実人数を入力してください",IF(ISBLANK(I40),C44*H40,IF(H40&lt;I40,C44*H40,C44*I40)))</f>
        <v>245300</v>
      </c>
    </row>
    <row r="45" spans="1:12" ht="19.5" customHeight="1" thickBot="1">
      <c r="B45" s="52"/>
      <c r="C45" s="53">
        <v>6130</v>
      </c>
      <c r="D45" s="54" t="s">
        <v>73</v>
      </c>
      <c r="E45" s="100"/>
      <c r="F45" s="187"/>
      <c r="G45" s="101"/>
      <c r="H45" s="338">
        <f>IF(I41="","実人数を入力してください",IF(ISBLANK(I41),C45*H41,IF(H41&lt;I41,C45*H41,C45*I41)))</f>
        <v>30650</v>
      </c>
    </row>
    <row r="46" spans="1:12" ht="19.5" customHeight="1" thickTop="1" thickBot="1">
      <c r="B46" s="56"/>
      <c r="C46" s="188" t="s">
        <v>74</v>
      </c>
      <c r="D46" s="58"/>
      <c r="E46" s="58"/>
      <c r="F46" s="59"/>
      <c r="G46" s="59"/>
      <c r="H46" s="318">
        <f>SUM(H44:H45)</f>
        <v>275950</v>
      </c>
    </row>
    <row r="47" spans="1:12" ht="19.5" customHeight="1"/>
    <row r="48" spans="1:12" ht="19.5" customHeight="1"/>
    <row r="49" ht="19.5" customHeight="1"/>
    <row r="50" ht="19.5" customHeight="1"/>
    <row r="51" ht="33.75" customHeight="1"/>
    <row r="52" ht="33.75" customHeight="1"/>
    <row r="53" ht="33.75" customHeight="1"/>
    <row r="54" ht="33.75" customHeight="1"/>
    <row r="55" ht="33.75" customHeight="1"/>
    <row r="56" ht="33.75" customHeight="1"/>
    <row r="57" ht="33.75" customHeight="1"/>
    <row r="58" ht="33.75" customHeight="1"/>
    <row r="59" ht="33.75" customHeight="1"/>
    <row r="60" ht="33.75" customHeight="1"/>
    <row r="61" ht="33.7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sheetData>
  <mergeCells count="21">
    <mergeCell ref="B3:C3"/>
    <mergeCell ref="D3:H3"/>
    <mergeCell ref="I34:J34"/>
    <mergeCell ref="C34:D34"/>
    <mergeCell ref="I30:J30"/>
    <mergeCell ref="I31:J31"/>
    <mergeCell ref="I32:J32"/>
    <mergeCell ref="B9:E9"/>
    <mergeCell ref="I33:J33"/>
    <mergeCell ref="B8:E8"/>
    <mergeCell ref="G19:H19"/>
    <mergeCell ref="C14:D14"/>
    <mergeCell ref="C12:D12"/>
    <mergeCell ref="C11:D11"/>
    <mergeCell ref="C10:D10"/>
    <mergeCell ref="B7:D7"/>
    <mergeCell ref="E18:H18"/>
    <mergeCell ref="C15:L15"/>
    <mergeCell ref="I18:L18"/>
    <mergeCell ref="K19:L19"/>
    <mergeCell ref="C13:D13"/>
  </mergeCells>
  <phoneticPr fontId="1"/>
  <dataValidations count="1">
    <dataValidation type="list" allowBlank="1" showInputMessage="1" showErrorMessage="1" sqref="I29 E24 E7 E29:E34 E22 E26" xr:uid="{00000000-0002-0000-0100-000000000000}">
      <formula1>"　,あり,なし"</formula1>
    </dataValidation>
  </dataValidations>
  <pageMargins left="0.92" right="0.56000000000000005" top="0.75" bottom="0.37" header="0.3" footer="0.3"/>
  <pageSetup paperSize="9" scale="81"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L131"/>
  <sheetViews>
    <sheetView view="pageBreakPreview" topLeftCell="A22" zoomScale="70" zoomScaleNormal="70" zoomScaleSheetLayoutView="70" workbookViewId="0">
      <selection activeCell="N32" sqref="N32"/>
    </sheetView>
  </sheetViews>
  <sheetFormatPr defaultColWidth="9" defaultRowHeight="18.75"/>
  <cols>
    <col min="1" max="1" width="2.875" style="11" customWidth="1"/>
    <col min="2" max="2" width="3" style="9" customWidth="1"/>
    <col min="3" max="3" width="14.75" style="9" customWidth="1"/>
    <col min="4" max="4" width="28.25" style="9" customWidth="1"/>
    <col min="5" max="6" width="10" style="10" customWidth="1"/>
    <col min="7" max="7" width="12.125" style="10" hidden="1" customWidth="1"/>
    <col min="8" max="8" width="13.125" style="10" customWidth="1"/>
    <col min="9" max="9" width="10" style="125" customWidth="1"/>
    <col min="10" max="10" width="10" style="11" customWidth="1"/>
    <col min="11" max="11" width="11" style="11" hidden="1" customWidth="1"/>
    <col min="12" max="12" width="13.125" style="11" customWidth="1"/>
    <col min="13" max="16384" width="9" style="11"/>
  </cols>
  <sheetData>
    <row r="1" spans="1:10" s="8" customFormat="1" ht="31.5" customHeight="1">
      <c r="A1" s="347" t="s">
        <v>131</v>
      </c>
      <c r="B1" s="6"/>
      <c r="C1" s="6"/>
      <c r="D1" s="6"/>
      <c r="E1" s="7"/>
      <c r="F1" s="7"/>
      <c r="G1" s="7"/>
      <c r="H1" s="7"/>
      <c r="I1" s="125"/>
    </row>
    <row r="2" spans="1:10" s="8" customFormat="1" ht="18.75" customHeight="1" thickBot="1">
      <c r="A2" s="5"/>
      <c r="B2" s="6"/>
      <c r="C2" s="6"/>
      <c r="D2" s="6"/>
      <c r="E2" s="7"/>
      <c r="F2" s="7"/>
      <c r="G2" s="7"/>
      <c r="H2" s="7"/>
      <c r="I2" s="125"/>
    </row>
    <row r="3" spans="1:10" ht="19.5" customHeight="1" thickBot="1">
      <c r="A3" s="9"/>
      <c r="B3" s="403" t="s">
        <v>0</v>
      </c>
      <c r="C3" s="404"/>
      <c r="D3" s="400" t="s">
        <v>75</v>
      </c>
      <c r="E3" s="401"/>
      <c r="F3" s="401"/>
      <c r="G3" s="401"/>
      <c r="H3" s="402"/>
    </row>
    <row r="4" spans="1:10" ht="19.5" customHeight="1">
      <c r="A4" s="9"/>
      <c r="C4" s="12"/>
      <c r="D4" s="12"/>
      <c r="E4" s="12"/>
      <c r="F4" s="12"/>
      <c r="G4" s="12"/>
    </row>
    <row r="5" spans="1:10" ht="19.5" customHeight="1" thickBot="1">
      <c r="A5" s="13" t="s">
        <v>2</v>
      </c>
      <c r="E5" s="12"/>
      <c r="F5" s="12"/>
      <c r="G5" s="12"/>
    </row>
    <row r="6" spans="1:10" ht="33" customHeight="1" thickBot="1">
      <c r="A6" s="13"/>
      <c r="B6" s="398"/>
      <c r="C6" s="399"/>
      <c r="D6" s="399"/>
      <c r="E6" s="175" t="s">
        <v>12</v>
      </c>
      <c r="F6" s="126" t="s">
        <v>13</v>
      </c>
      <c r="G6" s="12"/>
      <c r="J6" s="126" t="s">
        <v>13</v>
      </c>
    </row>
    <row r="7" spans="1:10" ht="37.5" customHeight="1" thickBot="1">
      <c r="A7" s="13"/>
      <c r="B7" s="397" t="s">
        <v>54</v>
      </c>
      <c r="C7" s="379"/>
      <c r="D7" s="379"/>
      <c r="E7" s="243" t="s">
        <v>111</v>
      </c>
      <c r="F7" s="126" t="s">
        <v>55</v>
      </c>
      <c r="G7" s="12"/>
      <c r="J7" s="242" t="str">
        <f>IF(E7="あり","分園分を記入","入力不要")</f>
        <v>入力不要</v>
      </c>
    </row>
    <row r="8" spans="1:10" ht="19.5" customHeight="1" thickBot="1">
      <c r="A8" s="13"/>
      <c r="B8" s="397" t="s">
        <v>4</v>
      </c>
      <c r="C8" s="379"/>
      <c r="D8" s="379"/>
      <c r="E8" s="379"/>
      <c r="F8" s="164">
        <f>F9+F10</f>
        <v>290</v>
      </c>
      <c r="G8" s="12"/>
      <c r="J8" s="164">
        <f>J9+J10</f>
        <v>90</v>
      </c>
    </row>
    <row r="9" spans="1:10" ht="19.5" customHeight="1" thickBot="1">
      <c r="A9" s="13"/>
      <c r="B9" s="127"/>
      <c r="C9" s="379" t="s">
        <v>76</v>
      </c>
      <c r="D9" s="379"/>
      <c r="E9" s="379"/>
      <c r="F9" s="1">
        <v>200</v>
      </c>
      <c r="G9" s="12"/>
      <c r="J9" s="1">
        <v>50</v>
      </c>
    </row>
    <row r="10" spans="1:10" ht="19.5" customHeight="1" thickBot="1">
      <c r="A10" s="13"/>
      <c r="B10" s="127"/>
      <c r="C10" s="379" t="s">
        <v>77</v>
      </c>
      <c r="D10" s="379"/>
      <c r="E10" s="379"/>
      <c r="F10" s="1">
        <v>90</v>
      </c>
      <c r="G10" s="12"/>
      <c r="J10" s="1">
        <v>40</v>
      </c>
    </row>
    <row r="11" spans="1:10" ht="19.5" customHeight="1" thickBot="1">
      <c r="A11" s="13"/>
      <c r="B11" s="395" t="s">
        <v>56</v>
      </c>
      <c r="C11" s="396"/>
      <c r="D11" s="396"/>
      <c r="E11" s="396"/>
      <c r="F11" s="165">
        <f>F12+F13+F15+F17</f>
        <v>105</v>
      </c>
      <c r="G11" s="12"/>
      <c r="J11" s="165">
        <f>J12+J13+J15+J17</f>
        <v>90</v>
      </c>
    </row>
    <row r="12" spans="1:10" ht="19.5" customHeight="1">
      <c r="A12" s="13"/>
      <c r="B12" s="128"/>
      <c r="C12" s="389" t="s">
        <v>6</v>
      </c>
      <c r="D12" s="390"/>
      <c r="E12" s="129"/>
      <c r="F12" s="130">
        <v>40</v>
      </c>
      <c r="G12" s="12"/>
      <c r="J12" s="130">
        <v>40</v>
      </c>
    </row>
    <row r="13" spans="1:10" ht="19.5" customHeight="1">
      <c r="A13" s="13"/>
      <c r="B13" s="128"/>
      <c r="C13" s="389" t="s">
        <v>57</v>
      </c>
      <c r="D13" s="390"/>
      <c r="E13" s="129"/>
      <c r="F13" s="131">
        <v>35</v>
      </c>
      <c r="G13" s="12"/>
      <c r="J13" s="131">
        <v>30</v>
      </c>
    </row>
    <row r="14" spans="1:10" ht="19.5" customHeight="1">
      <c r="A14" s="13"/>
      <c r="B14" s="128"/>
      <c r="C14" s="132" t="s">
        <v>78</v>
      </c>
      <c r="D14" s="133"/>
      <c r="E14" s="129"/>
      <c r="F14" s="131">
        <v>10</v>
      </c>
      <c r="G14" s="12"/>
      <c r="J14" s="131">
        <v>10</v>
      </c>
    </row>
    <row r="15" spans="1:10" ht="19.5" customHeight="1">
      <c r="A15" s="13"/>
      <c r="B15" s="128"/>
      <c r="C15" s="413" t="s">
        <v>58</v>
      </c>
      <c r="D15" s="414"/>
      <c r="E15" s="129"/>
      <c r="F15" s="340">
        <v>20</v>
      </c>
      <c r="G15" s="319"/>
      <c r="J15" s="340">
        <v>10</v>
      </c>
    </row>
    <row r="16" spans="1:10" ht="19.5" customHeight="1">
      <c r="A16" s="13"/>
      <c r="B16" s="128"/>
      <c r="C16" s="413" t="s">
        <v>121</v>
      </c>
      <c r="D16" s="414"/>
      <c r="E16" s="316"/>
      <c r="F16" s="341">
        <v>5</v>
      </c>
      <c r="G16" s="12"/>
      <c r="J16" s="341">
        <v>5</v>
      </c>
    </row>
    <row r="17" spans="1:12" ht="19.5" customHeight="1" thickBot="1">
      <c r="A17" s="9"/>
      <c r="B17" s="91"/>
      <c r="C17" s="391" t="s">
        <v>59</v>
      </c>
      <c r="D17" s="392"/>
      <c r="E17" s="134"/>
      <c r="F17" s="135">
        <v>10</v>
      </c>
      <c r="G17" s="12"/>
      <c r="J17" s="135">
        <v>10</v>
      </c>
    </row>
    <row r="18" spans="1:12" ht="32.25" customHeight="1">
      <c r="A18" s="9"/>
      <c r="B18" s="262" t="s">
        <v>9</v>
      </c>
      <c r="C18" s="376" t="s">
        <v>10</v>
      </c>
      <c r="D18" s="376"/>
      <c r="E18" s="376"/>
      <c r="F18" s="376"/>
      <c r="G18" s="376"/>
      <c r="H18" s="376"/>
      <c r="I18" s="376"/>
      <c r="J18" s="376"/>
      <c r="K18" s="376"/>
      <c r="L18" s="376"/>
    </row>
    <row r="19" spans="1:12" ht="19.5" customHeight="1">
      <c r="A19" s="9"/>
      <c r="B19" s="136"/>
      <c r="C19" s="263"/>
      <c r="D19" s="263"/>
      <c r="E19" s="263"/>
      <c r="F19" s="263"/>
      <c r="G19" s="263"/>
      <c r="H19" s="263"/>
    </row>
    <row r="20" spans="1:12" ht="19.5" customHeight="1" thickBot="1">
      <c r="A20" s="13" t="s">
        <v>79</v>
      </c>
    </row>
    <row r="21" spans="1:12" ht="19.5" customHeight="1" thickBot="1">
      <c r="A21" s="13"/>
      <c r="E21" s="427" t="s">
        <v>60</v>
      </c>
      <c r="F21" s="428"/>
      <c r="G21" s="428"/>
      <c r="H21" s="429"/>
      <c r="I21" s="408" t="s">
        <v>119</v>
      </c>
      <c r="J21" s="409"/>
      <c r="K21" s="409"/>
      <c r="L21" s="410"/>
    </row>
    <row r="22" spans="1:12" ht="31.5" customHeight="1">
      <c r="B22" s="17"/>
      <c r="C22" s="137"/>
      <c r="D22" s="137"/>
      <c r="E22" s="256" t="s">
        <v>12</v>
      </c>
      <c r="F22" s="257" t="s">
        <v>13</v>
      </c>
      <c r="G22" s="411" t="s">
        <v>14</v>
      </c>
      <c r="H22" s="426"/>
      <c r="I22" s="258" t="s">
        <v>12</v>
      </c>
      <c r="J22" s="257" t="s">
        <v>13</v>
      </c>
      <c r="K22" s="411" t="s">
        <v>14</v>
      </c>
      <c r="L22" s="426"/>
    </row>
    <row r="23" spans="1:12" ht="17.25" customHeight="1">
      <c r="B23" s="20" t="s">
        <v>15</v>
      </c>
      <c r="C23" s="85" t="s">
        <v>61</v>
      </c>
      <c r="D23" s="85"/>
      <c r="E23" s="249"/>
      <c r="F23" s="22"/>
      <c r="G23" s="60"/>
      <c r="H23" s="61"/>
      <c r="I23" s="21"/>
      <c r="J23" s="22"/>
      <c r="K23" s="60"/>
      <c r="L23" s="61"/>
    </row>
    <row r="24" spans="1:12" ht="17.25" customHeight="1">
      <c r="B24" s="23"/>
      <c r="C24" s="138" t="s">
        <v>62</v>
      </c>
      <c r="D24" s="246"/>
      <c r="E24" s="250"/>
      <c r="F24" s="166">
        <f>F12</f>
        <v>40</v>
      </c>
      <c r="G24" s="102">
        <f>IF($E$25="あり",ROUNDDOWN($F$12*1/25,1),ROUNDDOWN($F$12*1/30,1))</f>
        <v>1.6</v>
      </c>
      <c r="H24" s="103">
        <f>ROUNDDOWN(G24,1)</f>
        <v>1.6</v>
      </c>
      <c r="I24" s="138"/>
      <c r="J24" s="166">
        <f>IF(E7="あり",J12,0)</f>
        <v>0</v>
      </c>
      <c r="K24" s="102">
        <f>IF($E$7="あり",IF(I25="あり",ROUNDDOWN($J$12*1/25,1),ROUNDDOWN($J$12*1/30,1)),0)</f>
        <v>0</v>
      </c>
      <c r="L24" s="103">
        <f>ROUNDDOWN(K24,1)</f>
        <v>0</v>
      </c>
    </row>
    <row r="25" spans="1:12" ht="17.25" customHeight="1">
      <c r="B25" s="23"/>
      <c r="C25" s="140" t="s">
        <v>118</v>
      </c>
      <c r="D25" s="129"/>
      <c r="E25" s="237" t="s">
        <v>18</v>
      </c>
      <c r="F25" s="141"/>
      <c r="G25" s="170"/>
      <c r="H25" s="171"/>
      <c r="I25" s="265" t="str">
        <f>E25</f>
        <v>あり</v>
      </c>
      <c r="J25" s="141"/>
      <c r="K25" s="170"/>
      <c r="L25" s="171"/>
    </row>
    <row r="26" spans="1:12" ht="17.25" customHeight="1">
      <c r="B26" s="23"/>
      <c r="C26" s="24" t="s">
        <v>80</v>
      </c>
      <c r="D26" s="129"/>
      <c r="E26" s="251"/>
      <c r="F26" s="167">
        <f>F13</f>
        <v>35</v>
      </c>
      <c r="G26" s="62">
        <f>IF($E$27="あり",IF($E$28="あり",ROUNDDOWN(($F$13-$F$14)*1/15,1)+ROUNDDOWN($F$14*1/6,1),ROUNDDOWN($F$13*1/15,1)),IF($E$28="あり",ROUNDDOWN(($F$13-$F$14)*1/20,1)+ROUNDDOWN($F$14*1/6,1),ROUNDDOWN($F$13*1/20,1)))</f>
        <v>3.2</v>
      </c>
      <c r="H26" s="63">
        <f>ROUNDDOWN(G26,1)</f>
        <v>3.2</v>
      </c>
      <c r="I26" s="139"/>
      <c r="J26" s="168">
        <f>IF(E$7="あり",J13,0)</f>
        <v>0</v>
      </c>
      <c r="K26" s="62">
        <f>IF(E7="あり",IF($I$27="あり",IF($I$28="あり",ROUNDDOWN(($J$13-$J$14)*1/15,1)+ROUNDDOWN($J$14*1/6,1),ROUNDDOWN($J$13*1/15,1)),IF($I$28="あり",ROUNDDOWN(($J$13-$J$14)*1/20,1)+ROUNDDOWN($J$14*1/6,1),ROUNDDOWN($J$13*1/20,1))),0)</f>
        <v>0</v>
      </c>
      <c r="L26" s="63">
        <f>ROUNDDOWN(K26,1)</f>
        <v>0</v>
      </c>
    </row>
    <row r="27" spans="1:12" ht="17.25" customHeight="1">
      <c r="B27" s="23"/>
      <c r="C27" s="140" t="s">
        <v>81</v>
      </c>
      <c r="D27" s="129"/>
      <c r="E27" s="237" t="s">
        <v>18</v>
      </c>
      <c r="F27" s="141"/>
      <c r="G27" s="170"/>
      <c r="H27" s="171"/>
      <c r="I27" s="265" t="str">
        <f>E27</f>
        <v>あり</v>
      </c>
      <c r="J27" s="141"/>
      <c r="K27" s="170"/>
      <c r="L27" s="171"/>
    </row>
    <row r="28" spans="1:12" ht="17.25" customHeight="1">
      <c r="B28" s="23"/>
      <c r="C28" s="140" t="s">
        <v>82</v>
      </c>
      <c r="D28" s="129"/>
      <c r="E28" s="237" t="s">
        <v>18</v>
      </c>
      <c r="F28" s="141"/>
      <c r="G28" s="170"/>
      <c r="H28" s="171"/>
      <c r="I28" s="265" t="str">
        <f>E28</f>
        <v>あり</v>
      </c>
      <c r="J28" s="141"/>
      <c r="K28" s="170"/>
      <c r="L28" s="171"/>
    </row>
    <row r="29" spans="1:12" ht="17.25" customHeight="1">
      <c r="B29" s="23"/>
      <c r="C29" s="142" t="s">
        <v>58</v>
      </c>
      <c r="D29" s="247"/>
      <c r="E29" s="235"/>
      <c r="F29" s="168">
        <f>F15</f>
        <v>20</v>
      </c>
      <c r="G29" s="108">
        <f>IF(E30="なし",F29*1/6,(F29-F16)*1/6+F16*1/5)</f>
        <v>3.5</v>
      </c>
      <c r="H29" s="109">
        <f>ROUNDDOWN(G29,1)</f>
        <v>3.5</v>
      </c>
      <c r="I29" s="235"/>
      <c r="J29" s="167">
        <f>IF(E$7="あり",J15,0)</f>
        <v>0</v>
      </c>
      <c r="K29" s="358" t="str">
        <f>IF(OR(E7="なし",TRIM(E7)=""),"0.00",IF(I30="なし",J29*1/6,(J29-J16)*1/6+J16*1/5))</f>
        <v>0.00</v>
      </c>
      <c r="L29" s="109">
        <f>ROUNDDOWN(K29,1)</f>
        <v>0</v>
      </c>
    </row>
    <row r="30" spans="1:12" ht="17.25" customHeight="1">
      <c r="B30" s="23"/>
      <c r="C30" s="348" t="s">
        <v>120</v>
      </c>
      <c r="E30" s="344" t="s">
        <v>18</v>
      </c>
      <c r="F30" s="329"/>
      <c r="G30" s="115"/>
      <c r="H30" s="330"/>
      <c r="I30" s="349" t="str">
        <f>E30</f>
        <v>あり</v>
      </c>
      <c r="J30" s="141"/>
      <c r="K30" s="170"/>
      <c r="L30" s="171"/>
    </row>
    <row r="31" spans="1:12" ht="17.25" customHeight="1" thickBot="1">
      <c r="B31" s="23"/>
      <c r="C31" s="90" t="s">
        <v>59</v>
      </c>
      <c r="D31" s="248"/>
      <c r="E31" s="221"/>
      <c r="F31" s="169">
        <f>F17</f>
        <v>10</v>
      </c>
      <c r="G31" s="64">
        <f>F31*1/3</f>
        <v>3.3333333333333335</v>
      </c>
      <c r="H31" s="65">
        <f>ROUNDDOWN(G31,1)</f>
        <v>3.3</v>
      </c>
      <c r="I31" s="221"/>
      <c r="J31" s="314">
        <f>IF(E$7="あり",J17,0)</f>
        <v>0</v>
      </c>
      <c r="K31" s="64">
        <f>J31*1/3</f>
        <v>0</v>
      </c>
      <c r="L31" s="65">
        <f>ROUNDDOWN(K31,1)</f>
        <v>0</v>
      </c>
    </row>
    <row r="32" spans="1:12" ht="17.25" customHeight="1" thickTop="1">
      <c r="B32" s="26"/>
      <c r="C32" s="91" t="s">
        <v>65</v>
      </c>
      <c r="D32" s="143"/>
      <c r="E32" s="252"/>
      <c r="F32" s="28"/>
      <c r="G32" s="66"/>
      <c r="H32" s="67">
        <f>ROUND(SUM(H24:H31),0)</f>
        <v>12</v>
      </c>
      <c r="I32" s="259"/>
      <c r="J32" s="28"/>
      <c r="K32" s="66"/>
      <c r="L32" s="67">
        <f>ROUND(SUM(L24:L31),0)</f>
        <v>0</v>
      </c>
    </row>
    <row r="33" spans="2:12" ht="17.25" customHeight="1">
      <c r="B33" s="31" t="s">
        <v>83</v>
      </c>
      <c r="C33" s="144" t="s">
        <v>84</v>
      </c>
      <c r="D33" s="144"/>
      <c r="E33" s="253"/>
      <c r="F33" s="30"/>
      <c r="G33" s="68"/>
      <c r="H33" s="69">
        <f>IF(F10&lt;=90,1,0.8)</f>
        <v>1</v>
      </c>
      <c r="I33" s="145"/>
      <c r="J33" s="30"/>
      <c r="K33" s="68"/>
      <c r="L33" s="69">
        <f>IF(E7="あり",IF(J10&lt;=90,1,0.8),0)</f>
        <v>0</v>
      </c>
    </row>
    <row r="34" spans="2:12" ht="17.25" customHeight="1">
      <c r="B34" s="31" t="s">
        <v>22</v>
      </c>
      <c r="C34" s="144" t="s">
        <v>85</v>
      </c>
      <c r="D34" s="144"/>
      <c r="E34" s="253"/>
      <c r="F34" s="30"/>
      <c r="G34" s="68"/>
      <c r="H34" s="69">
        <f>IF(F10&lt;=20,1,(IF(F10&lt;=40,1.4,(IF(F10&lt;=150,2,3)))))</f>
        <v>2</v>
      </c>
      <c r="I34" s="145"/>
      <c r="J34" s="30"/>
      <c r="K34" s="68"/>
      <c r="L34" s="69">
        <f>IF(E7="あり",IF(J10&lt;=40,1,(IF(J10&lt;=150,2,3))),0)</f>
        <v>0</v>
      </c>
    </row>
    <row r="35" spans="2:12" ht="17.25" customHeight="1">
      <c r="B35" s="31" t="s">
        <v>86</v>
      </c>
      <c r="C35" s="144" t="s">
        <v>66</v>
      </c>
      <c r="D35" s="144"/>
      <c r="E35" s="240" t="s">
        <v>18</v>
      </c>
      <c r="F35" s="30"/>
      <c r="G35" s="68"/>
      <c r="H35" s="69">
        <f>IF(E35="あり",1.4,0)</f>
        <v>1.4</v>
      </c>
      <c r="I35" s="254" t="s">
        <v>18</v>
      </c>
      <c r="J35" s="264"/>
      <c r="K35" s="68"/>
      <c r="L35" s="69">
        <f>IF(E7="あり",IF(I35="あり",1.4,0),0)</f>
        <v>0</v>
      </c>
    </row>
    <row r="36" spans="2:12" ht="17.25" customHeight="1">
      <c r="B36" s="31" t="s">
        <v>87</v>
      </c>
      <c r="C36" s="144" t="s">
        <v>88</v>
      </c>
      <c r="D36" s="144"/>
      <c r="E36" s="267" t="s">
        <v>18</v>
      </c>
      <c r="F36" s="146"/>
      <c r="G36" s="68"/>
      <c r="H36" s="69">
        <f>IF(E36="あり",1,0)</f>
        <v>1</v>
      </c>
      <c r="I36" s="418" t="str">
        <f>IF($E$7="あり","本園分で選択","－")</f>
        <v>－</v>
      </c>
      <c r="J36" s="419"/>
      <c r="K36" s="68"/>
      <c r="L36" s="260"/>
    </row>
    <row r="37" spans="2:12" ht="17.25" customHeight="1" thickBot="1">
      <c r="B37" s="31" t="s">
        <v>89</v>
      </c>
      <c r="C37" s="144" t="s">
        <v>21</v>
      </c>
      <c r="D37" s="144"/>
      <c r="E37" s="240" t="s">
        <v>18</v>
      </c>
      <c r="F37" s="266"/>
      <c r="G37" s="68"/>
      <c r="H37" s="69">
        <f>IF(E37="あり",0.8,0)</f>
        <v>0.8</v>
      </c>
      <c r="I37" s="418" t="str">
        <f>IF($E$7="あり","本園分で選択","－")</f>
        <v>－</v>
      </c>
      <c r="J37" s="419"/>
      <c r="K37" s="68"/>
      <c r="L37" s="260"/>
    </row>
    <row r="38" spans="2:12" ht="17.25" customHeight="1" thickBot="1">
      <c r="B38" s="31" t="s">
        <v>70</v>
      </c>
      <c r="C38" s="144" t="s">
        <v>23</v>
      </c>
      <c r="D38" s="144"/>
      <c r="E38" s="268" t="s">
        <v>18</v>
      </c>
      <c r="F38" s="1">
        <v>3</v>
      </c>
      <c r="G38" s="68"/>
      <c r="H38" s="69">
        <f>IF(E38="あり",F38,0)</f>
        <v>3</v>
      </c>
      <c r="I38" s="418" t="str">
        <f t="shared" ref="I38:I48" si="0">IF($E$7="あり","本園分で選択","－")</f>
        <v>－</v>
      </c>
      <c r="J38" s="419"/>
      <c r="K38" s="68"/>
      <c r="L38" s="260"/>
    </row>
    <row r="39" spans="2:12" ht="17.25" customHeight="1">
      <c r="B39" s="31" t="s">
        <v>90</v>
      </c>
      <c r="C39" s="144" t="s">
        <v>25</v>
      </c>
      <c r="D39" s="144"/>
      <c r="E39" s="240" t="s">
        <v>18</v>
      </c>
      <c r="F39" s="148"/>
      <c r="G39" s="68"/>
      <c r="H39" s="69">
        <f>IF(F9=0,0,IF(E39="あり",IF(F9&lt;=150,0.8,1.5),0))</f>
        <v>1.5</v>
      </c>
      <c r="I39" s="418" t="str">
        <f t="shared" si="0"/>
        <v>－</v>
      </c>
      <c r="J39" s="419"/>
      <c r="K39" s="68"/>
      <c r="L39" s="260"/>
    </row>
    <row r="40" spans="2:12" ht="17.25" customHeight="1">
      <c r="B40" s="275" t="s">
        <v>34</v>
      </c>
      <c r="C40" s="277" t="s">
        <v>91</v>
      </c>
      <c r="D40" s="286"/>
      <c r="E40" s="293" t="s">
        <v>18</v>
      </c>
      <c r="F40" s="94"/>
      <c r="G40" s="276"/>
      <c r="H40" s="294">
        <f>IF(F9=0,0,IF(E40="あり",IF(F9&lt;=150,2,3),0))</f>
        <v>3</v>
      </c>
      <c r="I40" s="423" t="str">
        <f t="shared" si="0"/>
        <v>－</v>
      </c>
      <c r="J40" s="424"/>
      <c r="K40" s="276"/>
      <c r="L40" s="274"/>
    </row>
    <row r="41" spans="2:12" ht="17.25" customHeight="1">
      <c r="B41" s="31" t="s">
        <v>92</v>
      </c>
      <c r="C41" s="144" t="s">
        <v>68</v>
      </c>
      <c r="D41" s="144"/>
      <c r="E41" s="240" t="s">
        <v>18</v>
      </c>
      <c r="F41" s="30"/>
      <c r="G41" s="68"/>
      <c r="H41" s="69">
        <f>IF(E41="あり",0.5,0)</f>
        <v>0.5</v>
      </c>
      <c r="I41" s="418" t="str">
        <f t="shared" si="0"/>
        <v>－</v>
      </c>
      <c r="J41" s="419"/>
      <c r="K41" s="68"/>
      <c r="L41" s="260"/>
    </row>
    <row r="42" spans="2:12" ht="17.25" customHeight="1">
      <c r="B42" s="31" t="s">
        <v>93</v>
      </c>
      <c r="C42" s="144" t="s">
        <v>31</v>
      </c>
      <c r="D42" s="144"/>
      <c r="E42" s="240" t="s">
        <v>18</v>
      </c>
      <c r="F42" s="30"/>
      <c r="G42" s="68"/>
      <c r="H42" s="69">
        <f>IF(E42="あり",0.8,0)</f>
        <v>0.8</v>
      </c>
      <c r="I42" s="418" t="str">
        <f t="shared" si="0"/>
        <v>－</v>
      </c>
      <c r="J42" s="419"/>
      <c r="K42" s="68"/>
      <c r="L42" s="260"/>
    </row>
    <row r="43" spans="2:12" ht="17.25" customHeight="1">
      <c r="B43" s="31" t="s">
        <v>94</v>
      </c>
      <c r="C43" s="144" t="s">
        <v>33</v>
      </c>
      <c r="D43" s="144"/>
      <c r="E43" s="240" t="s">
        <v>18</v>
      </c>
      <c r="F43" s="30"/>
      <c r="G43" s="68"/>
      <c r="H43" s="69">
        <f>IF(E43="あり",0.8,0)</f>
        <v>0.8</v>
      </c>
      <c r="I43" s="418" t="str">
        <f t="shared" si="0"/>
        <v>－</v>
      </c>
      <c r="J43" s="419"/>
      <c r="K43" s="68"/>
      <c r="L43" s="260"/>
    </row>
    <row r="44" spans="2:12" ht="17.25" customHeight="1">
      <c r="B44" s="31" t="s">
        <v>95</v>
      </c>
      <c r="C44" s="144" t="s">
        <v>35</v>
      </c>
      <c r="D44" s="144"/>
      <c r="E44" s="240" t="s">
        <v>18</v>
      </c>
      <c r="F44" s="30"/>
      <c r="G44" s="68"/>
      <c r="H44" s="69">
        <f>IF(E44="あり",0.8,0)</f>
        <v>0.8</v>
      </c>
      <c r="I44" s="418" t="str">
        <f t="shared" si="0"/>
        <v>－</v>
      </c>
      <c r="J44" s="419"/>
      <c r="K44" s="68"/>
      <c r="L44" s="260"/>
    </row>
    <row r="45" spans="2:12" ht="17.25" customHeight="1">
      <c r="B45" s="31" t="s">
        <v>96</v>
      </c>
      <c r="C45" s="379" t="s">
        <v>37</v>
      </c>
      <c r="D45" s="417"/>
      <c r="E45" s="240" t="s">
        <v>18</v>
      </c>
      <c r="F45" s="146"/>
      <c r="G45" s="68"/>
      <c r="H45" s="69">
        <f>IF(E45="あり",0.6,0)</f>
        <v>0.6</v>
      </c>
      <c r="I45" s="269"/>
      <c r="J45" s="270"/>
      <c r="K45" s="68"/>
      <c r="L45" s="260"/>
    </row>
    <row r="46" spans="2:12" ht="17.25" customHeight="1" thickBot="1">
      <c r="B46" s="31" t="s">
        <v>97</v>
      </c>
      <c r="C46" s="345" t="s">
        <v>39</v>
      </c>
      <c r="D46" s="144"/>
      <c r="E46" s="240" t="s">
        <v>18</v>
      </c>
      <c r="F46" s="146"/>
      <c r="G46" s="68"/>
      <c r="H46" s="70">
        <f>IF(E46="あり",-1,0)</f>
        <v>-1</v>
      </c>
      <c r="I46" s="418" t="str">
        <f t="shared" si="0"/>
        <v>－</v>
      </c>
      <c r="J46" s="419"/>
      <c r="K46" s="68"/>
      <c r="L46" s="261"/>
    </row>
    <row r="47" spans="2:12" ht="44.25" customHeight="1" thickBot="1">
      <c r="B47" s="31" t="s">
        <v>98</v>
      </c>
      <c r="C47" s="425" t="s">
        <v>132</v>
      </c>
      <c r="D47" s="425"/>
      <c r="E47" s="254" t="s">
        <v>99</v>
      </c>
      <c r="F47" s="149">
        <v>2</v>
      </c>
      <c r="G47" s="172"/>
      <c r="H47" s="70">
        <f>IF(E47="該当",-F47,0)</f>
        <v>-2</v>
      </c>
      <c r="I47" s="418" t="str">
        <f t="shared" si="0"/>
        <v>－</v>
      </c>
      <c r="J47" s="419"/>
      <c r="K47" s="172"/>
      <c r="L47" s="261"/>
    </row>
    <row r="48" spans="2:12" ht="24" customHeight="1" thickBot="1">
      <c r="B48" s="31" t="s">
        <v>100</v>
      </c>
      <c r="C48" s="144" t="s">
        <v>101</v>
      </c>
      <c r="D48" s="144"/>
      <c r="E48" s="254" t="s">
        <v>99</v>
      </c>
      <c r="F48" s="149">
        <v>2</v>
      </c>
      <c r="G48" s="172"/>
      <c r="H48" s="70">
        <f>IF(E48="該当",-F48,0)</f>
        <v>-2</v>
      </c>
      <c r="I48" s="418" t="str">
        <f t="shared" si="0"/>
        <v>－</v>
      </c>
      <c r="J48" s="419"/>
      <c r="K48" s="172"/>
      <c r="L48" s="261"/>
    </row>
    <row r="49" spans="1:12" ht="24" customHeight="1" thickBot="1">
      <c r="B49" s="150" t="s">
        <v>71</v>
      </c>
      <c r="C49" s="151"/>
      <c r="D49" s="151"/>
      <c r="E49" s="255"/>
      <c r="F49" s="153"/>
      <c r="G49" s="173">
        <f>F9+F10</f>
        <v>290</v>
      </c>
      <c r="H49" s="72">
        <f>IF(G49&lt;=90,1.4,2.2)</f>
        <v>2.2000000000000002</v>
      </c>
      <c r="I49" s="152"/>
      <c r="J49" s="153"/>
      <c r="K49" s="173">
        <f>IF(E7="あり",J9+J10,0)</f>
        <v>0</v>
      </c>
      <c r="L49" s="72">
        <f>IF(E7="あり",IF(K49&lt;=90,1.4,2.2),0)</f>
        <v>0</v>
      </c>
    </row>
    <row r="50" spans="1:12" ht="24" customHeight="1" thickTop="1" thickBot="1">
      <c r="B50" s="36" t="s">
        <v>42</v>
      </c>
      <c r="E50" s="236"/>
      <c r="F50" s="37"/>
      <c r="G50" s="73"/>
      <c r="H50" s="74">
        <f>SUM(H32:H49)</f>
        <v>26.400000000000002</v>
      </c>
      <c r="I50" s="9"/>
      <c r="J50" s="37"/>
      <c r="K50" s="73"/>
      <c r="L50" s="74">
        <f>SUM(L32:L49)</f>
        <v>0</v>
      </c>
    </row>
    <row r="51" spans="1:12" ht="24" customHeight="1" thickBot="1">
      <c r="B51" s="38" t="s">
        <v>43</v>
      </c>
      <c r="C51" s="39"/>
      <c r="D51" s="39"/>
      <c r="E51" s="209"/>
      <c r="F51" s="40"/>
      <c r="G51" s="75"/>
      <c r="H51" s="192">
        <f>ROUND(H50,0)</f>
        <v>26</v>
      </c>
      <c r="I51" s="39"/>
      <c r="J51" s="40"/>
      <c r="K51" s="75"/>
      <c r="L51" s="192">
        <f>ROUND(L50,0)</f>
        <v>0</v>
      </c>
    </row>
    <row r="52" spans="1:12" ht="12" customHeight="1">
      <c r="G52" s="43"/>
    </row>
    <row r="53" spans="1:12" ht="21.75" customHeight="1" thickBot="1">
      <c r="A53" s="295" t="s">
        <v>127</v>
      </c>
      <c r="E53" s="9"/>
      <c r="G53" s="44"/>
      <c r="H53" s="333" t="s">
        <v>124</v>
      </c>
      <c r="I53" s="334" t="s">
        <v>123</v>
      </c>
    </row>
    <row r="54" spans="1:12" ht="21.75" customHeight="1" thickBot="1">
      <c r="B54" s="49" t="s">
        <v>46</v>
      </c>
      <c r="C54" s="46"/>
      <c r="D54" s="46"/>
      <c r="E54" s="39"/>
      <c r="F54" s="99"/>
      <c r="G54" s="47">
        <f>(H51+L51)/3</f>
        <v>8.6666666666666661</v>
      </c>
      <c r="H54" s="81">
        <f>IF(ROUND(G54,0)=0,1,ROUND(G54,0))</f>
        <v>9</v>
      </c>
      <c r="I54" s="292">
        <v>8</v>
      </c>
    </row>
    <row r="55" spans="1:12" ht="21.75" customHeight="1" thickBot="1">
      <c r="B55" s="48" t="s">
        <v>47</v>
      </c>
      <c r="C55" s="287"/>
      <c r="D55" s="287"/>
      <c r="E55" s="288"/>
      <c r="F55" s="154"/>
      <c r="G55" s="289">
        <f>(H51+L51)/5</f>
        <v>5.2</v>
      </c>
      <c r="H55" s="290">
        <f>IF(ROUND(G55,0)=0,1,ROUND(G55,0))</f>
        <v>5</v>
      </c>
      <c r="I55" s="292">
        <v>5</v>
      </c>
    </row>
    <row r="56" spans="1:12" ht="21.75" customHeight="1">
      <c r="E56" s="9"/>
      <c r="H56" s="43"/>
      <c r="I56" s="10"/>
    </row>
    <row r="57" spans="1:12" ht="21.75" customHeight="1" thickBot="1">
      <c r="A57" s="13" t="s">
        <v>48</v>
      </c>
      <c r="E57" s="9"/>
    </row>
    <row r="58" spans="1:12" ht="21.75" customHeight="1" thickBot="1">
      <c r="B58" s="155"/>
      <c r="C58" s="346">
        <v>50420</v>
      </c>
      <c r="D58" s="50" t="s">
        <v>72</v>
      </c>
      <c r="E58" s="50"/>
      <c r="F58" s="156"/>
      <c r="G58" s="157"/>
      <c r="H58" s="337">
        <f>IF(I54="","実人数を入力してください",IF(ISBLANK(I54),C58*H54,IF(H54&lt;I54,C58*H54,C58*I54)))</f>
        <v>403360</v>
      </c>
    </row>
    <row r="59" spans="1:12" ht="21.75" customHeight="1" thickBot="1">
      <c r="B59" s="158"/>
      <c r="C59" s="53">
        <v>6300</v>
      </c>
      <c r="D59" s="53" t="s">
        <v>73</v>
      </c>
      <c r="E59" s="53"/>
      <c r="F59" s="159"/>
      <c r="G59" s="160"/>
      <c r="H59" s="338">
        <f>IF(I55="","実人数を入力してください",IF(ISBLANK(I55),C59*H55,IF(H55&lt;I55,C59*H55,C59*I55)))</f>
        <v>31500</v>
      </c>
    </row>
    <row r="60" spans="1:12" ht="21.75" customHeight="1" thickTop="1" thickBot="1">
      <c r="B60" s="161"/>
      <c r="C60" s="162" t="s">
        <v>74</v>
      </c>
      <c r="D60" s="163"/>
      <c r="E60" s="163"/>
      <c r="F60" s="163"/>
      <c r="G60" s="163"/>
      <c r="H60" s="318">
        <f>SUM(H58:H59)</f>
        <v>434860</v>
      </c>
    </row>
    <row r="61" spans="1:12" ht="33.75" customHeight="1"/>
    <row r="62" spans="1:12" ht="33.75" customHeight="1"/>
    <row r="63" spans="1:12" ht="33.75" customHeight="1"/>
    <row r="64" spans="1:12" ht="33.75" customHeight="1"/>
    <row r="65" ht="33.75" customHeight="1"/>
    <row r="66" ht="33.75" customHeight="1"/>
    <row r="67" ht="33.75" customHeight="1"/>
    <row r="68" ht="33.75" customHeight="1"/>
    <row r="69" ht="33.75" customHeight="1"/>
    <row r="70" ht="33.7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sheetData>
  <mergeCells count="32">
    <mergeCell ref="I47:J47"/>
    <mergeCell ref="I48:J48"/>
    <mergeCell ref="I39:J39"/>
    <mergeCell ref="I41:J41"/>
    <mergeCell ref="I42:J42"/>
    <mergeCell ref="I43:J43"/>
    <mergeCell ref="C47:D47"/>
    <mergeCell ref="G22:H22"/>
    <mergeCell ref="B8:E8"/>
    <mergeCell ref="B11:E11"/>
    <mergeCell ref="C12:D12"/>
    <mergeCell ref="C13:D13"/>
    <mergeCell ref="C15:D15"/>
    <mergeCell ref="C17:D17"/>
    <mergeCell ref="C10:E10"/>
    <mergeCell ref="C9:E9"/>
    <mergeCell ref="C18:L18"/>
    <mergeCell ref="E21:H21"/>
    <mergeCell ref="I21:L21"/>
    <mergeCell ref="K22:L22"/>
    <mergeCell ref="I36:J36"/>
    <mergeCell ref="I46:J46"/>
    <mergeCell ref="C45:D45"/>
    <mergeCell ref="I40:J40"/>
    <mergeCell ref="B3:C3"/>
    <mergeCell ref="D3:H3"/>
    <mergeCell ref="B6:D6"/>
    <mergeCell ref="B7:D7"/>
    <mergeCell ref="I38:J38"/>
    <mergeCell ref="I37:J37"/>
    <mergeCell ref="I44:J44"/>
    <mergeCell ref="C16:D16"/>
  </mergeCells>
  <phoneticPr fontId="1"/>
  <dataValidations disablePrompts="1" count="2">
    <dataValidation type="list" allowBlank="1" showInputMessage="1" showErrorMessage="1" sqref="E27:E28 E49 I35 E7 I27:I28 I49 E35:E46 E25 I25 E30 I30" xr:uid="{00000000-0002-0000-0200-000000000000}">
      <formula1>"　,あり,なし"</formula1>
    </dataValidation>
    <dataValidation type="list" allowBlank="1" showInputMessage="1" showErrorMessage="1" sqref="E47:E48" xr:uid="{00000000-0002-0000-0200-000001000000}">
      <formula1>"　,該当,非該当"</formula1>
    </dataValidation>
  </dataValidations>
  <pageMargins left="0.92" right="0.56000000000000005" top="0.75" bottom="0.37" header="0.3" footer="0.3"/>
  <pageSetup paperSize="9" scale="63"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J104"/>
  <sheetViews>
    <sheetView view="pageBreakPreview" topLeftCell="A13" zoomScale="85" zoomScaleNormal="70" zoomScaleSheetLayoutView="85" workbookViewId="0">
      <selection activeCell="C31" sqref="C31:C32"/>
    </sheetView>
  </sheetViews>
  <sheetFormatPr defaultColWidth="9" defaultRowHeight="18.75"/>
  <cols>
    <col min="1" max="1" width="2.875" style="11" customWidth="1"/>
    <col min="2" max="2" width="3" style="9" customWidth="1"/>
    <col min="3" max="3" width="16.375" style="9" customWidth="1"/>
    <col min="4" max="4" width="25.5" style="9" customWidth="1"/>
    <col min="5" max="5" width="8" style="9" customWidth="1"/>
    <col min="6" max="6" width="8" style="10" customWidth="1"/>
    <col min="7" max="7" width="11.75" style="10" hidden="1" customWidth="1"/>
    <col min="8" max="9" width="13.875" style="10" customWidth="1"/>
    <col min="10" max="16384" width="9" style="11"/>
  </cols>
  <sheetData>
    <row r="1" spans="1:10" s="8" customFormat="1" ht="31.5" customHeight="1">
      <c r="A1" s="347" t="s">
        <v>133</v>
      </c>
      <c r="B1" s="6"/>
      <c r="C1" s="6"/>
      <c r="D1" s="6"/>
      <c r="E1" s="6"/>
      <c r="F1" s="7"/>
      <c r="G1" s="7"/>
      <c r="H1" s="7"/>
      <c r="I1" s="7"/>
    </row>
    <row r="2" spans="1:10" s="351" customFormat="1" ht="30.75" customHeight="1">
      <c r="A2" s="347" t="s">
        <v>134</v>
      </c>
      <c r="B2" s="41"/>
      <c r="C2" s="41"/>
      <c r="D2" s="41"/>
      <c r="E2" s="41"/>
      <c r="F2" s="350"/>
      <c r="G2" s="350"/>
      <c r="H2" s="350"/>
      <c r="I2" s="350"/>
    </row>
    <row r="3" spans="1:10" s="351" customFormat="1" ht="30.75" customHeight="1">
      <c r="A3" s="347" t="s">
        <v>135</v>
      </c>
      <c r="B3" s="41"/>
      <c r="C3" s="41"/>
      <c r="D3" s="41"/>
      <c r="E3" s="41"/>
      <c r="F3" s="350"/>
      <c r="G3" s="350"/>
      <c r="H3" s="350"/>
      <c r="I3" s="350"/>
    </row>
    <row r="4" spans="1:10" ht="21.75" customHeight="1" thickBot="1">
      <c r="A4" s="5"/>
    </row>
    <row r="5" spans="1:10" ht="19.5" customHeight="1" thickBot="1">
      <c r="A5" s="9"/>
      <c r="B5" s="403" t="s">
        <v>0</v>
      </c>
      <c r="C5" s="403"/>
      <c r="D5" s="400" t="s">
        <v>52</v>
      </c>
      <c r="E5" s="401"/>
      <c r="F5" s="401"/>
      <c r="G5" s="401"/>
      <c r="H5" s="402"/>
    </row>
    <row r="6" spans="1:10" ht="19.5" customHeight="1">
      <c r="A6" s="9"/>
      <c r="C6" s="12"/>
      <c r="D6" s="12"/>
      <c r="E6" s="12"/>
      <c r="F6" s="12"/>
      <c r="G6" s="12"/>
      <c r="H6" s="12"/>
    </row>
    <row r="7" spans="1:10" ht="19.5" customHeight="1" thickBot="1">
      <c r="A7" s="13" t="s">
        <v>79</v>
      </c>
    </row>
    <row r="8" spans="1:10" ht="33.75" customHeight="1">
      <c r="B8" s="397"/>
      <c r="C8" s="379"/>
      <c r="D8" s="380"/>
      <c r="E8" s="18" t="s">
        <v>12</v>
      </c>
      <c r="F8" s="19" t="s">
        <v>13</v>
      </c>
      <c r="G8" s="420" t="s">
        <v>14</v>
      </c>
      <c r="H8" s="442"/>
    </row>
    <row r="9" spans="1:10" ht="24" customHeight="1" thickBot="1">
      <c r="B9" s="20" t="s">
        <v>15</v>
      </c>
      <c r="C9" s="85" t="s">
        <v>61</v>
      </c>
      <c r="D9" s="85"/>
      <c r="E9" s="21"/>
      <c r="F9" s="22"/>
      <c r="G9" s="60"/>
      <c r="H9" s="61"/>
    </row>
    <row r="10" spans="1:10" ht="28.5" customHeight="1" thickBot="1">
      <c r="B10" s="23"/>
      <c r="C10" s="440" t="s">
        <v>102</v>
      </c>
      <c r="D10" s="441"/>
      <c r="E10" s="138"/>
      <c r="F10" s="1">
        <v>1</v>
      </c>
      <c r="G10" s="102">
        <f>F10*1/30</f>
        <v>3.3333333333333333E-2</v>
      </c>
      <c r="H10" s="103">
        <f>ROUNDDOWN(G10,1)</f>
        <v>0</v>
      </c>
      <c r="J10" s="25"/>
    </row>
    <row r="11" spans="1:10" ht="28.5" customHeight="1" thickBot="1">
      <c r="B11" s="23"/>
      <c r="C11" s="430" t="s">
        <v>103</v>
      </c>
      <c r="D11" s="431"/>
      <c r="E11" s="24"/>
      <c r="F11" s="1">
        <v>5</v>
      </c>
      <c r="G11" s="62">
        <f>F11*1/20</f>
        <v>0.25</v>
      </c>
      <c r="H11" s="63">
        <f>ROUNDDOWN(G11,1)</f>
        <v>0.2</v>
      </c>
      <c r="J11" s="25"/>
    </row>
    <row r="12" spans="1:10" ht="28.5" customHeight="1" thickBot="1">
      <c r="B12" s="23"/>
      <c r="C12" s="430" t="s">
        <v>104</v>
      </c>
      <c r="D12" s="431"/>
      <c r="E12" s="24"/>
      <c r="F12" s="1">
        <v>10</v>
      </c>
      <c r="G12" s="62">
        <f>IF(E13="なし",F12*1/6,(F12-F13)*1/6+F13*1/5)</f>
        <v>1.8333333333333335</v>
      </c>
      <c r="H12" s="63">
        <f>ROUNDDOWN(G12,1)</f>
        <v>1.8</v>
      </c>
      <c r="J12" s="25"/>
    </row>
    <row r="13" spans="1:10" ht="28.5" customHeight="1" thickBot="1">
      <c r="B13" s="23"/>
      <c r="C13" s="432" t="s">
        <v>136</v>
      </c>
      <c r="D13" s="433"/>
      <c r="E13" s="117" t="s">
        <v>18</v>
      </c>
      <c r="F13" s="1">
        <v>5</v>
      </c>
      <c r="G13" s="331"/>
      <c r="H13" s="332"/>
      <c r="J13" s="25"/>
    </row>
    <row r="14" spans="1:10" ht="28.5" customHeight="1" thickBot="1">
      <c r="B14" s="23"/>
      <c r="C14" s="430" t="s">
        <v>105</v>
      </c>
      <c r="D14" s="386"/>
      <c r="E14" s="24"/>
      <c r="F14" s="1">
        <v>4</v>
      </c>
      <c r="G14" s="62">
        <f>F14*1/3</f>
        <v>1.3333333333333333</v>
      </c>
      <c r="H14" s="63">
        <f>ROUNDDOWN(G14,1)</f>
        <v>1.3</v>
      </c>
      <c r="J14" s="25"/>
    </row>
    <row r="15" spans="1:10" ht="24" customHeight="1" thickBot="1">
      <c r="B15" s="23"/>
      <c r="C15" s="385" t="s">
        <v>106</v>
      </c>
      <c r="D15" s="386"/>
      <c r="E15" s="117" t="s">
        <v>18</v>
      </c>
      <c r="F15" s="1">
        <v>6</v>
      </c>
      <c r="G15" s="62">
        <f>IF(E15="あり",F15/2,0)</f>
        <v>3</v>
      </c>
      <c r="H15" s="63">
        <f>ROUNDDOWN(G15,1)</f>
        <v>3</v>
      </c>
      <c r="J15" s="25"/>
    </row>
    <row r="16" spans="1:10" ht="24" customHeight="1" thickBot="1">
      <c r="B16" s="26"/>
      <c r="C16" s="438" t="s">
        <v>107</v>
      </c>
      <c r="D16" s="439"/>
      <c r="E16" s="118"/>
      <c r="F16" s="119"/>
      <c r="G16" s="123"/>
      <c r="H16" s="124">
        <v>1</v>
      </c>
      <c r="J16" s="25"/>
    </row>
    <row r="17" spans="1:10" ht="24" customHeight="1" thickTop="1">
      <c r="B17" s="26"/>
      <c r="C17" s="436" t="s">
        <v>65</v>
      </c>
      <c r="D17" s="437"/>
      <c r="E17" s="27"/>
      <c r="F17" s="28"/>
      <c r="G17" s="66"/>
      <c r="H17" s="67">
        <f>ROUND(SUM(H10:H16),0)</f>
        <v>7</v>
      </c>
      <c r="J17" s="25"/>
    </row>
    <row r="18" spans="1:10" ht="24" customHeight="1">
      <c r="B18" s="29" t="s">
        <v>20</v>
      </c>
      <c r="C18" s="379" t="s">
        <v>137</v>
      </c>
      <c r="D18" s="380"/>
      <c r="E18" s="4" t="s">
        <v>18</v>
      </c>
      <c r="F18" s="30"/>
      <c r="G18" s="68"/>
      <c r="H18" s="69">
        <f>IF(E18="あり",0.4,0)</f>
        <v>0.4</v>
      </c>
    </row>
    <row r="19" spans="1:10" ht="24" customHeight="1">
      <c r="B19" s="29" t="s">
        <v>22</v>
      </c>
      <c r="C19" s="379" t="s">
        <v>68</v>
      </c>
      <c r="D19" s="380"/>
      <c r="E19" s="4" t="s">
        <v>18</v>
      </c>
      <c r="F19" s="30"/>
      <c r="G19" s="68"/>
      <c r="H19" s="69">
        <f>IF(E19="あり",0.5,0)</f>
        <v>0.5</v>
      </c>
    </row>
    <row r="20" spans="1:10" ht="24" customHeight="1">
      <c r="B20" s="29" t="s">
        <v>86</v>
      </c>
      <c r="C20" s="144" t="s">
        <v>37</v>
      </c>
      <c r="D20" s="271"/>
      <c r="E20" s="4" t="s">
        <v>18</v>
      </c>
      <c r="F20" s="30"/>
      <c r="G20" s="68"/>
      <c r="H20" s="69">
        <f>IF(E20="あり",0.6,0)</f>
        <v>0.6</v>
      </c>
    </row>
    <row r="21" spans="1:10" ht="27.75" customHeight="1">
      <c r="B21" s="31" t="s">
        <v>87</v>
      </c>
      <c r="C21" s="434" t="s">
        <v>108</v>
      </c>
      <c r="D21" s="435"/>
      <c r="E21" s="4" t="s">
        <v>18</v>
      </c>
      <c r="F21" s="30"/>
      <c r="G21" s="68"/>
      <c r="H21" s="70">
        <f>IF(E21="あり",-1,0)</f>
        <v>-1</v>
      </c>
    </row>
    <row r="22" spans="1:10" ht="27.75" customHeight="1" thickBot="1">
      <c r="B22" s="32" t="s">
        <v>109</v>
      </c>
      <c r="C22" s="33"/>
      <c r="D22" s="33"/>
      <c r="E22" s="34"/>
      <c r="F22" s="35"/>
      <c r="G22" s="71"/>
      <c r="H22" s="114">
        <v>1.3</v>
      </c>
    </row>
    <row r="23" spans="1:10" ht="24" customHeight="1" thickTop="1" thickBot="1">
      <c r="B23" s="36" t="s">
        <v>42</v>
      </c>
      <c r="F23" s="37"/>
      <c r="G23" s="73"/>
      <c r="H23" s="74">
        <f>SUM(H17:H22)</f>
        <v>8.8000000000000007</v>
      </c>
    </row>
    <row r="24" spans="1:10" ht="24" customHeight="1" thickBot="1">
      <c r="B24" s="120" t="s">
        <v>43</v>
      </c>
      <c r="C24" s="121"/>
      <c r="D24" s="121"/>
      <c r="E24" s="121"/>
      <c r="F24" s="122"/>
      <c r="G24" s="75"/>
      <c r="H24" s="192">
        <f>ROUND(H23,0)</f>
        <v>9</v>
      </c>
    </row>
    <row r="25" spans="1:10" ht="24" customHeight="1">
      <c r="B25" s="41"/>
      <c r="G25" s="42"/>
      <c r="H25" s="43"/>
    </row>
    <row r="26" spans="1:10" ht="33.75" customHeight="1" thickBot="1">
      <c r="A26" s="13" t="s">
        <v>127</v>
      </c>
      <c r="F26" s="9"/>
      <c r="H26" s="352" t="s">
        <v>124</v>
      </c>
      <c r="I26" s="353" t="s">
        <v>123</v>
      </c>
    </row>
    <row r="27" spans="1:10" ht="25.5" customHeight="1" thickBot="1">
      <c r="B27" s="45" t="s">
        <v>46</v>
      </c>
      <c r="C27" s="359"/>
      <c r="D27" s="359"/>
      <c r="E27" s="359"/>
      <c r="F27" s="360"/>
      <c r="G27" s="47">
        <f>H24/3</f>
        <v>3</v>
      </c>
      <c r="H27" s="81">
        <f>IF(ROUND(G27,0)=0,1,ROUND(G27,0))</f>
        <v>3</v>
      </c>
      <c r="I27" s="292">
        <v>3</v>
      </c>
    </row>
    <row r="28" spans="1:10" ht="25.5" customHeight="1" thickBot="1">
      <c r="B28" s="49" t="s">
        <v>47</v>
      </c>
      <c r="C28" s="46"/>
      <c r="D28" s="46"/>
      <c r="E28" s="46"/>
      <c r="F28" s="320"/>
      <c r="G28" s="47">
        <f>H24/5</f>
        <v>1.8</v>
      </c>
      <c r="H28" s="81">
        <f>IF(ROUND(G28,0)=0,1,ROUND(G28,0))</f>
        <v>2</v>
      </c>
      <c r="I28" s="292">
        <v>2</v>
      </c>
    </row>
    <row r="29" spans="1:10" ht="25.5" customHeight="1">
      <c r="F29" s="9"/>
      <c r="H29" s="43"/>
      <c r="I29" s="11"/>
    </row>
    <row r="30" spans="1:10" ht="25.5" customHeight="1" thickBot="1">
      <c r="A30" s="13" t="s">
        <v>48</v>
      </c>
      <c r="F30" s="9"/>
      <c r="I30" s="11"/>
    </row>
    <row r="31" spans="1:10" ht="25.5" customHeight="1" thickBot="1">
      <c r="B31" s="49"/>
      <c r="C31" s="50">
        <v>49060</v>
      </c>
      <c r="D31" s="46" t="s">
        <v>72</v>
      </c>
      <c r="E31" s="46"/>
      <c r="F31" s="46"/>
      <c r="G31" s="51"/>
      <c r="H31" s="354">
        <f>IF(I27="","実人数を入力してください",IF(ISBLANK(I27),C31*H27,IF(H27&lt;I27,C31*H27,C31*I27)))</f>
        <v>147180</v>
      </c>
      <c r="I31" s="11"/>
    </row>
    <row r="32" spans="1:10" ht="25.5" customHeight="1" thickBot="1">
      <c r="B32" s="52"/>
      <c r="C32" s="53">
        <v>6130</v>
      </c>
      <c r="D32" s="54" t="s">
        <v>73</v>
      </c>
      <c r="E32" s="54"/>
      <c r="F32" s="54"/>
      <c r="G32" s="55"/>
      <c r="H32" s="356">
        <f>IF(I28="","実人数を入力してください",IF(ISBLANK(I28),C32*H28,IF(H28&lt;I28,C32*H28,C32*I28)))</f>
        <v>12260</v>
      </c>
      <c r="I32" s="11"/>
    </row>
    <row r="33" spans="2:8" ht="25.5" customHeight="1" thickTop="1" thickBot="1">
      <c r="B33" s="56"/>
      <c r="C33" s="57" t="s">
        <v>74</v>
      </c>
      <c r="D33" s="57"/>
      <c r="E33" s="59"/>
      <c r="F33" s="59"/>
      <c r="G33" s="59"/>
      <c r="H33" s="318">
        <f>SUM(H31:H32)</f>
        <v>159440</v>
      </c>
    </row>
    <row r="34" spans="2:8" ht="33.75" customHeight="1"/>
    <row r="35" spans="2:8" ht="33.75" customHeight="1"/>
    <row r="36" spans="2:8" ht="33.75" customHeight="1"/>
    <row r="37" spans="2:8" ht="33.75" customHeight="1"/>
    <row r="38" spans="2:8" ht="33.75" customHeight="1"/>
    <row r="39" spans="2:8" ht="33.75" customHeight="1"/>
    <row r="40" spans="2:8" ht="33.75" customHeight="1"/>
    <row r="41" spans="2:8" ht="33.75" customHeight="1"/>
    <row r="42" spans="2:8" ht="33.75" customHeight="1"/>
    <row r="43" spans="2:8" ht="33.75" customHeight="1"/>
    <row r="44" spans="2:8" ht="20.25" customHeight="1"/>
    <row r="45" spans="2:8" ht="20.25" customHeight="1"/>
    <row r="46" spans="2:8" ht="20.25" customHeight="1"/>
    <row r="47" spans="2:8" ht="20.25" customHeight="1"/>
    <row r="48" spans="2: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sheetData>
  <mergeCells count="15">
    <mergeCell ref="B5:C5"/>
    <mergeCell ref="C10:D10"/>
    <mergeCell ref="C11:D11"/>
    <mergeCell ref="D5:H5"/>
    <mergeCell ref="G8:H8"/>
    <mergeCell ref="C21:D21"/>
    <mergeCell ref="C19:D19"/>
    <mergeCell ref="C18:D18"/>
    <mergeCell ref="C17:D17"/>
    <mergeCell ref="C16:D16"/>
    <mergeCell ref="C14:D14"/>
    <mergeCell ref="C15:D15"/>
    <mergeCell ref="C12:D12"/>
    <mergeCell ref="B8:D8"/>
    <mergeCell ref="C13:D13"/>
  </mergeCells>
  <phoneticPr fontId="1"/>
  <dataValidations count="1">
    <dataValidation type="list" allowBlank="1" showInputMessage="1" showErrorMessage="1" sqref="E15 E18:E21 E13" xr:uid="{00000000-0002-0000-0300-000000000000}">
      <formula1>"　,あり,なし"</formula1>
    </dataValidation>
  </dataValidations>
  <pageMargins left="0.92" right="0.56000000000000005" top="0.75" bottom="0.37" header="0.3" footer="0.3"/>
  <pageSetup paperSize="9" scale="85"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J106"/>
  <sheetViews>
    <sheetView view="pageBreakPreview" topLeftCell="A14" zoomScale="85" zoomScaleNormal="70" zoomScaleSheetLayoutView="85" workbookViewId="0">
      <selection activeCell="C34" sqref="C34"/>
    </sheetView>
  </sheetViews>
  <sheetFormatPr defaultColWidth="9" defaultRowHeight="18.75"/>
  <cols>
    <col min="1" max="1" width="2.875" style="11" customWidth="1"/>
    <col min="2" max="2" width="3" style="9" customWidth="1"/>
    <col min="3" max="3" width="17.75" style="9" customWidth="1"/>
    <col min="4" max="4" width="22.625" style="9" customWidth="1"/>
    <col min="5" max="5" width="8" style="9" customWidth="1"/>
    <col min="6" max="6" width="8" style="10" customWidth="1"/>
    <col min="7" max="7" width="10.25" style="10" hidden="1" customWidth="1"/>
    <col min="8" max="9" width="14.375" style="10" customWidth="1"/>
    <col min="10" max="16384" width="9" style="11"/>
  </cols>
  <sheetData>
    <row r="1" spans="1:10" s="8" customFormat="1" ht="31.5" customHeight="1">
      <c r="A1" s="5" t="s">
        <v>133</v>
      </c>
      <c r="B1" s="6"/>
      <c r="C1" s="6"/>
      <c r="D1" s="6"/>
      <c r="E1" s="6"/>
      <c r="F1" s="7"/>
      <c r="G1" s="7"/>
      <c r="H1" s="7"/>
      <c r="I1" s="7"/>
    </row>
    <row r="2" spans="1:10" ht="30.75" customHeight="1">
      <c r="A2" s="5" t="s">
        <v>138</v>
      </c>
    </row>
    <row r="3" spans="1:10" ht="21.75" customHeight="1" thickBot="1">
      <c r="A3" s="5"/>
    </row>
    <row r="4" spans="1:10" ht="19.5" customHeight="1" thickBot="1">
      <c r="A4" s="9"/>
      <c r="B4" s="403" t="s">
        <v>0</v>
      </c>
      <c r="C4" s="403"/>
      <c r="D4" s="400" t="s">
        <v>52</v>
      </c>
      <c r="E4" s="401"/>
      <c r="F4" s="401"/>
      <c r="G4" s="401"/>
      <c r="H4" s="402"/>
    </row>
    <row r="5" spans="1:10" ht="19.5" customHeight="1">
      <c r="A5" s="9"/>
      <c r="C5" s="12"/>
      <c r="D5" s="12"/>
      <c r="E5" s="12"/>
      <c r="F5" s="12"/>
      <c r="G5" s="12"/>
      <c r="H5" s="12"/>
    </row>
    <row r="6" spans="1:10" ht="19.5" customHeight="1" thickBot="1">
      <c r="A6" s="13" t="s">
        <v>2</v>
      </c>
      <c r="E6" s="12"/>
      <c r="F6" s="12"/>
      <c r="G6" s="12"/>
      <c r="H6" s="12"/>
    </row>
    <row r="7" spans="1:10" ht="35.25" customHeight="1" thickBot="1">
      <c r="A7" s="13"/>
      <c r="B7" s="398"/>
      <c r="C7" s="399"/>
      <c r="D7" s="399"/>
      <c r="E7" s="399"/>
      <c r="F7" s="14" t="s">
        <v>13</v>
      </c>
      <c r="G7" s="12"/>
      <c r="H7" s="12"/>
      <c r="I7" s="12"/>
      <c r="J7" s="10"/>
    </row>
    <row r="8" spans="1:10" ht="19.5" customHeight="1" thickBot="1">
      <c r="A8" s="13"/>
      <c r="B8" s="397" t="s">
        <v>4</v>
      </c>
      <c r="C8" s="379"/>
      <c r="D8" s="379"/>
      <c r="E8" s="379"/>
      <c r="F8" s="1">
        <v>31</v>
      </c>
      <c r="G8" s="12"/>
      <c r="H8" s="12"/>
      <c r="I8" s="12"/>
      <c r="J8" s="10"/>
    </row>
    <row r="9" spans="1:10" ht="19.5" customHeight="1">
      <c r="A9" s="13"/>
      <c r="B9" s="15"/>
      <c r="C9" s="15"/>
      <c r="D9" s="15"/>
      <c r="E9" s="15"/>
      <c r="F9" s="16"/>
      <c r="G9" s="12"/>
      <c r="H9" s="12"/>
      <c r="I9" s="12"/>
      <c r="J9" s="10"/>
    </row>
    <row r="10" spans="1:10" ht="19.5" customHeight="1" thickBot="1">
      <c r="A10" s="13" t="s">
        <v>79</v>
      </c>
    </row>
    <row r="11" spans="1:10" ht="33.75" customHeight="1">
      <c r="B11" s="17"/>
      <c r="C11" s="379"/>
      <c r="D11" s="380"/>
      <c r="E11" s="18" t="s">
        <v>12</v>
      </c>
      <c r="F11" s="19" t="s">
        <v>13</v>
      </c>
      <c r="G11" s="445" t="s">
        <v>14</v>
      </c>
      <c r="H11" s="446"/>
    </row>
    <row r="12" spans="1:10" ht="24" customHeight="1" thickBot="1">
      <c r="B12" s="20" t="s">
        <v>15</v>
      </c>
      <c r="C12" s="396" t="s">
        <v>61</v>
      </c>
      <c r="D12" s="447"/>
      <c r="E12" s="21"/>
      <c r="F12" s="22"/>
      <c r="G12" s="60"/>
      <c r="H12" s="61"/>
    </row>
    <row r="13" spans="1:10" ht="33.75" customHeight="1" thickBot="1">
      <c r="B13" s="26"/>
      <c r="C13" s="440" t="s">
        <v>102</v>
      </c>
      <c r="D13" s="441"/>
      <c r="E13" s="138"/>
      <c r="F13" s="1">
        <v>1</v>
      </c>
      <c r="G13" s="102">
        <f>F13*1/30</f>
        <v>3.3333333333333333E-2</v>
      </c>
      <c r="H13" s="103">
        <f>ROUNDDOWN(G13,1)</f>
        <v>0</v>
      </c>
    </row>
    <row r="14" spans="1:10" ht="33.75" customHeight="1" thickBot="1">
      <c r="B14" s="26"/>
      <c r="C14" s="430" t="s">
        <v>103</v>
      </c>
      <c r="D14" s="431"/>
      <c r="E14" s="24"/>
      <c r="F14" s="1">
        <v>2</v>
      </c>
      <c r="G14" s="62">
        <f>F14*1/20</f>
        <v>0.1</v>
      </c>
      <c r="H14" s="63">
        <f>ROUNDDOWN(G14,1)</f>
        <v>0.1</v>
      </c>
    </row>
    <row r="15" spans="1:10" ht="33" customHeight="1" thickBot="1">
      <c r="B15" s="23"/>
      <c r="C15" s="430" t="s">
        <v>110</v>
      </c>
      <c r="D15" s="431"/>
      <c r="E15" s="24"/>
      <c r="F15" s="1">
        <v>10</v>
      </c>
      <c r="G15" s="62">
        <f>IF(E16="なし",F15*1/6,(F15-F16)*1/6+F16*1/5)</f>
        <v>1.8333333333333335</v>
      </c>
      <c r="H15" s="63">
        <f>ROUNDDOWN(G15,1)</f>
        <v>1.8</v>
      </c>
      <c r="J15" s="25"/>
    </row>
    <row r="16" spans="1:10" ht="33" customHeight="1" thickBot="1">
      <c r="B16" s="23"/>
      <c r="C16" s="432" t="s">
        <v>136</v>
      </c>
      <c r="D16" s="433"/>
      <c r="E16" s="117" t="s">
        <v>18</v>
      </c>
      <c r="F16" s="1">
        <v>5</v>
      </c>
      <c r="G16" s="331"/>
      <c r="H16" s="332"/>
      <c r="J16" s="25"/>
    </row>
    <row r="17" spans="1:10" ht="30.75" customHeight="1" thickBot="1">
      <c r="B17" s="23"/>
      <c r="C17" s="430" t="s">
        <v>105</v>
      </c>
      <c r="D17" s="386"/>
      <c r="E17" s="24"/>
      <c r="F17" s="1">
        <v>4</v>
      </c>
      <c r="G17" s="62">
        <f>F17*1/3</f>
        <v>1.3333333333333333</v>
      </c>
      <c r="H17" s="63">
        <f>ROUNDDOWN(G17,1)</f>
        <v>1.3</v>
      </c>
      <c r="J17" s="25"/>
    </row>
    <row r="18" spans="1:10" ht="30.75" customHeight="1" thickBot="1">
      <c r="B18" s="23"/>
      <c r="C18" s="438" t="s">
        <v>106</v>
      </c>
      <c r="D18" s="439"/>
      <c r="E18" s="3" t="s">
        <v>111</v>
      </c>
      <c r="F18" s="2">
        <v>5</v>
      </c>
      <c r="G18" s="64">
        <f>IF(E18="あり",F18/2,0)</f>
        <v>0</v>
      </c>
      <c r="H18" s="65">
        <f>ROUNDDOWN(G18,1)</f>
        <v>0</v>
      </c>
      <c r="J18" s="25"/>
    </row>
    <row r="19" spans="1:10" ht="24" customHeight="1" thickTop="1">
      <c r="B19" s="26"/>
      <c r="C19" s="443" t="s">
        <v>65</v>
      </c>
      <c r="D19" s="444"/>
      <c r="E19" s="27"/>
      <c r="F19" s="28"/>
      <c r="G19" s="66"/>
      <c r="H19" s="67">
        <f>ROUND(SUM(H13:H18),0)</f>
        <v>3</v>
      </c>
      <c r="J19" s="25"/>
    </row>
    <row r="20" spans="1:10" ht="24" customHeight="1">
      <c r="B20" s="29" t="s">
        <v>20</v>
      </c>
      <c r="C20" s="379" t="s">
        <v>137</v>
      </c>
      <c r="D20" s="380"/>
      <c r="E20" s="4" t="s">
        <v>18</v>
      </c>
      <c r="F20" s="30"/>
      <c r="G20" s="68"/>
      <c r="H20" s="69">
        <f>IF(E20="あり",1.4,0)</f>
        <v>1.4</v>
      </c>
    </row>
    <row r="21" spans="1:10" ht="24" customHeight="1">
      <c r="B21" s="29" t="s">
        <v>22</v>
      </c>
      <c r="C21" s="379" t="s">
        <v>68</v>
      </c>
      <c r="D21" s="380"/>
      <c r="E21" s="4" t="s">
        <v>18</v>
      </c>
      <c r="F21" s="30"/>
      <c r="G21" s="68"/>
      <c r="H21" s="69">
        <f>IF(E21="あり",0.5,0)</f>
        <v>0.5</v>
      </c>
    </row>
    <row r="22" spans="1:10" ht="24" customHeight="1">
      <c r="B22" s="29" t="s">
        <v>86</v>
      </c>
      <c r="C22" s="144" t="s">
        <v>37</v>
      </c>
      <c r="D22" s="271"/>
      <c r="E22" s="4" t="s">
        <v>18</v>
      </c>
      <c r="F22" s="30"/>
      <c r="G22" s="68"/>
      <c r="H22" s="69">
        <f>IF(E22="あり",0.6,0)</f>
        <v>0.6</v>
      </c>
    </row>
    <row r="23" spans="1:10" ht="27.75" customHeight="1">
      <c r="B23" s="31" t="s">
        <v>87</v>
      </c>
      <c r="C23" s="434" t="s">
        <v>108</v>
      </c>
      <c r="D23" s="435"/>
      <c r="E23" s="4" t="s">
        <v>18</v>
      </c>
      <c r="F23" s="30"/>
      <c r="G23" s="68"/>
      <c r="H23" s="70">
        <f>IF(E23="あり",IF(F8&lt;=40,-1,-2),0)</f>
        <v>-1</v>
      </c>
    </row>
    <row r="24" spans="1:10" ht="27.75" customHeight="1" thickBot="1">
      <c r="B24" s="32" t="s">
        <v>112</v>
      </c>
      <c r="C24" s="33"/>
      <c r="D24" s="33"/>
      <c r="E24" s="34"/>
      <c r="F24" s="35"/>
      <c r="G24" s="71"/>
      <c r="H24" s="72">
        <f>IF(F8&lt;=40,1.5,2.5)</f>
        <v>1.5</v>
      </c>
    </row>
    <row r="25" spans="1:10" ht="24" customHeight="1" thickTop="1" thickBot="1">
      <c r="B25" s="36" t="s">
        <v>42</v>
      </c>
      <c r="F25" s="37"/>
      <c r="G25" s="73"/>
      <c r="H25" s="74">
        <f>SUM(H19:H24)</f>
        <v>6</v>
      </c>
    </row>
    <row r="26" spans="1:10" ht="24" customHeight="1" thickBot="1">
      <c r="B26" s="38" t="s">
        <v>43</v>
      </c>
      <c r="C26" s="39"/>
      <c r="D26" s="39"/>
      <c r="E26" s="39"/>
      <c r="F26" s="40"/>
      <c r="G26" s="75"/>
      <c r="H26" s="192">
        <f>ROUND(H25,0)</f>
        <v>6</v>
      </c>
    </row>
    <row r="27" spans="1:10" ht="24" customHeight="1">
      <c r="B27" s="41"/>
      <c r="G27" s="77"/>
      <c r="H27" s="78"/>
    </row>
    <row r="28" spans="1:10" ht="33.75" customHeight="1" thickBot="1">
      <c r="A28" s="13" t="s">
        <v>127</v>
      </c>
      <c r="F28" s="9"/>
      <c r="G28" s="79"/>
      <c r="H28" s="352" t="s">
        <v>124</v>
      </c>
      <c r="I28" s="353" t="s">
        <v>123</v>
      </c>
    </row>
    <row r="29" spans="1:10" ht="25.5" customHeight="1" thickBot="1">
      <c r="B29" s="45" t="s">
        <v>46</v>
      </c>
      <c r="C29" s="46"/>
      <c r="D29" s="46"/>
      <c r="E29" s="46"/>
      <c r="F29" s="39"/>
      <c r="G29" s="80">
        <f>H26/3</f>
        <v>2</v>
      </c>
      <c r="H29" s="81">
        <f>IF(ROUND(G29,0)=0,1,ROUND(G29,0))</f>
        <v>2</v>
      </c>
      <c r="I29" s="292">
        <v>2</v>
      </c>
    </row>
    <row r="30" spans="1:10" ht="25.5" customHeight="1" thickBot="1">
      <c r="B30" s="49" t="s">
        <v>47</v>
      </c>
      <c r="C30" s="46"/>
      <c r="D30" s="46"/>
      <c r="E30" s="46"/>
      <c r="F30" s="39"/>
      <c r="G30" s="80">
        <f>H26/5</f>
        <v>1.2</v>
      </c>
      <c r="H30" s="81">
        <f>IF(ROUND(G30,0)=0,1,ROUND(G30,0))</f>
        <v>1</v>
      </c>
      <c r="I30" s="292">
        <v>1</v>
      </c>
    </row>
    <row r="31" spans="1:10" ht="25.5" customHeight="1">
      <c r="F31" s="9"/>
      <c r="G31" s="79"/>
      <c r="H31" s="78"/>
      <c r="I31" s="11"/>
    </row>
    <row r="32" spans="1:10" ht="25.5" customHeight="1" thickBot="1">
      <c r="A32" s="13" t="s">
        <v>48</v>
      </c>
      <c r="F32" s="9"/>
      <c r="G32" s="79"/>
      <c r="H32" s="79"/>
      <c r="I32" s="11"/>
    </row>
    <row r="33" spans="2:9" ht="25.5" customHeight="1" thickBot="1">
      <c r="B33" s="49"/>
      <c r="C33" s="50">
        <v>49060</v>
      </c>
      <c r="D33" s="46" t="s">
        <v>72</v>
      </c>
      <c r="E33" s="46"/>
      <c r="F33" s="46"/>
      <c r="G33" s="82"/>
      <c r="H33" s="354">
        <f>IF(I29="","実人数を入力してください",IF(ISBLANK(I29),C33*H29,IF(H29&lt;I29,C33*H29,C33*I29)))</f>
        <v>98120</v>
      </c>
      <c r="I33" s="11"/>
    </row>
    <row r="34" spans="2:9" ht="25.5" customHeight="1" thickBot="1">
      <c r="B34" s="52"/>
      <c r="C34" s="53">
        <v>6130</v>
      </c>
      <c r="D34" s="54" t="s">
        <v>73</v>
      </c>
      <c r="E34" s="54"/>
      <c r="F34" s="54"/>
      <c r="G34" s="83"/>
      <c r="H34" s="356">
        <f>IF(I30="","実人数を入力してください",IF(ISBLANK(I30),C34*H30,IF(H30&lt;I30,C34*H30,C34*I30)))</f>
        <v>6130</v>
      </c>
      <c r="I34" s="11"/>
    </row>
    <row r="35" spans="2:9" ht="25.5" customHeight="1" thickTop="1" thickBot="1">
      <c r="B35" s="56"/>
      <c r="C35" s="57" t="s">
        <v>74</v>
      </c>
      <c r="D35" s="57"/>
      <c r="E35" s="58"/>
      <c r="F35" s="59"/>
      <c r="G35" s="84"/>
      <c r="H35" s="318">
        <f>SUM(H33:H34)</f>
        <v>104250</v>
      </c>
    </row>
    <row r="36" spans="2:9" ht="33.75" customHeight="1"/>
    <row r="37" spans="2:9" ht="33.75" customHeight="1"/>
    <row r="38" spans="2:9" ht="33.75" customHeight="1"/>
    <row r="39" spans="2:9" ht="33.75" customHeight="1"/>
    <row r="40" spans="2:9" ht="33.75" customHeight="1"/>
    <row r="41" spans="2:9" ht="33.75" customHeight="1"/>
    <row r="42" spans="2:9" ht="33.75" customHeight="1"/>
    <row r="43" spans="2:9" ht="33.75" customHeight="1"/>
    <row r="44" spans="2:9" ht="33.75" customHeight="1"/>
    <row r="45" spans="2:9" ht="33.75" customHeight="1"/>
    <row r="46" spans="2:9" ht="20.25" customHeight="1"/>
    <row r="47" spans="2:9" ht="20.25" customHeight="1"/>
    <row r="48" spans="2:9"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sheetData>
  <mergeCells count="17">
    <mergeCell ref="B4:C4"/>
    <mergeCell ref="C13:D13"/>
    <mergeCell ref="C14:D14"/>
    <mergeCell ref="D4:H4"/>
    <mergeCell ref="B7:E7"/>
    <mergeCell ref="B8:E8"/>
    <mergeCell ref="G11:H11"/>
    <mergeCell ref="C11:D11"/>
    <mergeCell ref="C12:D12"/>
    <mergeCell ref="C15:D15"/>
    <mergeCell ref="C21:D21"/>
    <mergeCell ref="C23:D23"/>
    <mergeCell ref="C18:D18"/>
    <mergeCell ref="C17:D17"/>
    <mergeCell ref="C19:D19"/>
    <mergeCell ref="C20:D20"/>
    <mergeCell ref="C16:D16"/>
  </mergeCells>
  <phoneticPr fontId="1"/>
  <dataValidations count="1">
    <dataValidation type="list" allowBlank="1" showInputMessage="1" showErrorMessage="1" sqref="E18 E20:E23 E16" xr:uid="{00000000-0002-0000-0400-000000000000}">
      <formula1>"　,あり,なし"</formula1>
    </dataValidation>
  </dataValidations>
  <pageMargins left="0.92" right="0.56000000000000005" top="0.75" bottom="0.37" header="0.3" footer="0.3"/>
  <pageSetup paperSize="9" scale="84"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J100"/>
  <sheetViews>
    <sheetView tabSelected="1" view="pageBreakPreview" zoomScale="85" zoomScaleNormal="70" zoomScaleSheetLayoutView="85" workbookViewId="0">
      <selection activeCell="C28" sqref="C28"/>
    </sheetView>
  </sheetViews>
  <sheetFormatPr defaultColWidth="9" defaultRowHeight="18.75"/>
  <cols>
    <col min="1" max="1" width="2.875" style="11" customWidth="1"/>
    <col min="2" max="2" width="3" style="9" customWidth="1"/>
    <col min="3" max="3" width="13.125" style="9" customWidth="1"/>
    <col min="4" max="4" width="23.375" style="9" customWidth="1"/>
    <col min="5" max="5" width="8" style="9" customWidth="1"/>
    <col min="6" max="6" width="9.375" style="10" customWidth="1"/>
    <col min="7" max="7" width="7.125" style="10" hidden="1" customWidth="1"/>
    <col min="8" max="9" width="13.75" style="10" customWidth="1"/>
    <col min="10" max="16384" width="9" style="11"/>
  </cols>
  <sheetData>
    <row r="1" spans="1:10" s="8" customFormat="1" ht="25.5" customHeight="1">
      <c r="A1" s="5" t="s">
        <v>133</v>
      </c>
      <c r="B1" s="6"/>
      <c r="C1" s="6"/>
      <c r="D1" s="6"/>
      <c r="E1" s="6"/>
      <c r="F1" s="7"/>
      <c r="G1" s="7"/>
      <c r="H1" s="7"/>
      <c r="I1" s="7"/>
    </row>
    <row r="2" spans="1:10" ht="25.5" customHeight="1">
      <c r="A2" s="5" t="s">
        <v>139</v>
      </c>
    </row>
    <row r="3" spans="1:10" ht="25.5" customHeight="1" thickBot="1">
      <c r="A3" s="5"/>
    </row>
    <row r="4" spans="1:10" ht="25.5" customHeight="1" thickBot="1">
      <c r="A4" s="9"/>
      <c r="B4" s="403" t="s">
        <v>0</v>
      </c>
      <c r="C4" s="403"/>
      <c r="D4" s="400" t="s">
        <v>52</v>
      </c>
      <c r="E4" s="401"/>
      <c r="F4" s="401"/>
      <c r="G4" s="401"/>
      <c r="H4" s="402"/>
    </row>
    <row r="5" spans="1:10" ht="25.5" customHeight="1">
      <c r="A5" s="9"/>
      <c r="C5" s="12"/>
      <c r="D5" s="12"/>
      <c r="E5" s="12"/>
      <c r="F5" s="12"/>
      <c r="G5" s="12"/>
      <c r="H5" s="12"/>
    </row>
    <row r="6" spans="1:10" ht="25.5" customHeight="1" thickBot="1">
      <c r="A6" s="13" t="s">
        <v>79</v>
      </c>
    </row>
    <row r="7" spans="1:10" ht="28.5" customHeight="1">
      <c r="B7" s="398"/>
      <c r="C7" s="399"/>
      <c r="D7" s="453"/>
      <c r="E7" s="18" t="s">
        <v>12</v>
      </c>
      <c r="F7" s="19" t="s">
        <v>13</v>
      </c>
      <c r="G7" s="420" t="s">
        <v>14</v>
      </c>
      <c r="H7" s="442"/>
    </row>
    <row r="8" spans="1:10" ht="25.5" customHeight="1" thickBot="1">
      <c r="B8" s="20" t="s">
        <v>15</v>
      </c>
      <c r="C8" s="85" t="s">
        <v>61</v>
      </c>
      <c r="D8" s="85"/>
      <c r="E8" s="21"/>
      <c r="F8" s="22"/>
      <c r="G8" s="60"/>
      <c r="H8" s="61"/>
    </row>
    <row r="9" spans="1:10" ht="25.5" customHeight="1" thickBot="1">
      <c r="B9" s="23"/>
      <c r="C9" s="440" t="s">
        <v>140</v>
      </c>
      <c r="D9" s="441"/>
      <c r="E9" s="86"/>
      <c r="F9" s="1">
        <v>15</v>
      </c>
      <c r="G9" s="102">
        <f>IF(E10="あり",F9/5,F9/3)</f>
        <v>3</v>
      </c>
      <c r="H9" s="103">
        <f>IF(E11="なし",ROUND(G9,1),0)</f>
        <v>3</v>
      </c>
      <c r="J9" s="25"/>
    </row>
    <row r="10" spans="1:10" ht="25.5" customHeight="1">
      <c r="B10" s="23"/>
      <c r="C10" s="456" t="s">
        <v>141</v>
      </c>
      <c r="D10" s="457"/>
      <c r="E10" s="87" t="s">
        <v>18</v>
      </c>
      <c r="F10" s="28"/>
      <c r="G10" s="104"/>
      <c r="H10" s="105"/>
      <c r="J10" s="25"/>
    </row>
    <row r="11" spans="1:10" ht="25.5" customHeight="1" thickBot="1">
      <c r="B11" s="23"/>
      <c r="C11" s="451" t="s">
        <v>113</v>
      </c>
      <c r="D11" s="452"/>
      <c r="E11" s="88" t="s">
        <v>111</v>
      </c>
      <c r="F11" s="89"/>
      <c r="G11" s="106"/>
      <c r="H11" s="107"/>
      <c r="J11" s="25"/>
    </row>
    <row r="12" spans="1:10" ht="25.5" customHeight="1" thickBot="1">
      <c r="B12" s="23"/>
      <c r="C12" s="385" t="s">
        <v>114</v>
      </c>
      <c r="D12" s="386"/>
      <c r="E12" s="24"/>
      <c r="F12" s="1">
        <v>7</v>
      </c>
      <c r="G12" s="108">
        <f>IF(E11="あり",F12/5,0)</f>
        <v>0</v>
      </c>
      <c r="H12" s="109">
        <f>ROUNDDOWN(G12,1)</f>
        <v>0</v>
      </c>
      <c r="J12" s="25"/>
    </row>
    <row r="13" spans="1:10" ht="25.5" customHeight="1" thickBot="1">
      <c r="B13" s="23"/>
      <c r="C13" s="438" t="s">
        <v>115</v>
      </c>
      <c r="D13" s="439"/>
      <c r="E13" s="90"/>
      <c r="F13" s="1">
        <v>3</v>
      </c>
      <c r="G13" s="64">
        <f>IF(E11="あり",F13/2,0)</f>
        <v>0</v>
      </c>
      <c r="H13" s="65">
        <f>ROUNDDOWN(G13,1)</f>
        <v>0</v>
      </c>
      <c r="J13" s="25"/>
    </row>
    <row r="14" spans="1:10" ht="25.5" customHeight="1" thickTop="1">
      <c r="B14" s="26"/>
      <c r="C14" s="91" t="s">
        <v>65</v>
      </c>
      <c r="D14" s="91"/>
      <c r="E14" s="27"/>
      <c r="F14" s="28"/>
      <c r="G14" s="110"/>
      <c r="H14" s="67">
        <f>ROUND(SUM(H9:H13),0)</f>
        <v>3</v>
      </c>
      <c r="J14" s="25"/>
    </row>
    <row r="15" spans="1:10" ht="25.5" customHeight="1">
      <c r="B15" s="92" t="s">
        <v>20</v>
      </c>
      <c r="C15" s="396" t="s">
        <v>137</v>
      </c>
      <c r="D15" s="447"/>
      <c r="E15" s="93" t="s">
        <v>18</v>
      </c>
      <c r="F15" s="94"/>
      <c r="G15" s="111"/>
      <c r="H15" s="112">
        <f>IF(E15="あり",0.4,0)</f>
        <v>0.4</v>
      </c>
    </row>
    <row r="16" spans="1:10" ht="25.5" customHeight="1">
      <c r="B16" s="26" t="s">
        <v>22</v>
      </c>
      <c r="C16" s="133" t="s">
        <v>37</v>
      </c>
      <c r="D16" s="355"/>
      <c r="E16" s="88" t="s">
        <v>18</v>
      </c>
      <c r="F16" s="266"/>
      <c r="G16" s="115"/>
      <c r="H16" s="315">
        <f>IF(E16="あり",0.6,0)</f>
        <v>0.6</v>
      </c>
    </row>
    <row r="17" spans="1:9" ht="25.5" customHeight="1">
      <c r="B17" s="95" t="s">
        <v>24</v>
      </c>
      <c r="C17" s="454" t="s">
        <v>108</v>
      </c>
      <c r="D17" s="455"/>
      <c r="E17" s="87" t="s">
        <v>18</v>
      </c>
      <c r="F17" s="96"/>
      <c r="G17" s="104"/>
      <c r="H17" s="113">
        <f>IF(E17="あり",-1,0)</f>
        <v>-1</v>
      </c>
    </row>
    <row r="18" spans="1:9" ht="25.5" customHeight="1" thickBot="1">
      <c r="B18" s="448" t="s">
        <v>109</v>
      </c>
      <c r="C18" s="449"/>
      <c r="D18" s="449"/>
      <c r="E18" s="449"/>
      <c r="F18" s="450"/>
      <c r="G18" s="71"/>
      <c r="H18" s="114">
        <v>1.6</v>
      </c>
    </row>
    <row r="19" spans="1:9" ht="25.5" customHeight="1" thickTop="1" thickBot="1">
      <c r="B19" s="36" t="s">
        <v>42</v>
      </c>
      <c r="F19" s="37"/>
      <c r="G19" s="115"/>
      <c r="H19" s="74">
        <f>SUM(H14:H18)</f>
        <v>4.5999999999999996</v>
      </c>
    </row>
    <row r="20" spans="1:9" ht="25.5" customHeight="1" thickBot="1">
      <c r="B20" s="38" t="s">
        <v>43</v>
      </c>
      <c r="C20" s="39"/>
      <c r="D20" s="39"/>
      <c r="E20" s="39"/>
      <c r="F20" s="40"/>
      <c r="G20" s="116"/>
      <c r="H20" s="76">
        <f>ROUND(H19,0)</f>
        <v>5</v>
      </c>
    </row>
    <row r="21" spans="1:9" ht="25.5" customHeight="1">
      <c r="B21" s="41"/>
      <c r="G21" s="97"/>
      <c r="H21" s="43"/>
    </row>
    <row r="22" spans="1:9" ht="25.5" customHeight="1" thickBot="1">
      <c r="A22" s="13" t="s">
        <v>45</v>
      </c>
      <c r="F22" s="9"/>
      <c r="G22" s="98"/>
      <c r="H22" s="352" t="s">
        <v>124</v>
      </c>
      <c r="I22" s="353" t="s">
        <v>123</v>
      </c>
    </row>
    <row r="23" spans="1:9" ht="25.5" customHeight="1" thickBot="1">
      <c r="B23" s="45" t="s">
        <v>46</v>
      </c>
      <c r="C23" s="46"/>
      <c r="D23" s="46"/>
      <c r="E23" s="46"/>
      <c r="F23" s="39"/>
      <c r="G23" s="47">
        <f>H20/3</f>
        <v>1.6666666666666667</v>
      </c>
      <c r="H23" s="81">
        <f>IF(ROUND(G23,0)=0,1,ROUND(G23,0))</f>
        <v>2</v>
      </c>
      <c r="I23" s="292">
        <v>2</v>
      </c>
    </row>
    <row r="24" spans="1:9" ht="25.5" customHeight="1" thickBot="1">
      <c r="B24" s="49" t="s">
        <v>47</v>
      </c>
      <c r="C24" s="46"/>
      <c r="D24" s="46"/>
      <c r="E24" s="46"/>
      <c r="F24" s="39"/>
      <c r="G24" s="47">
        <f>H20/5</f>
        <v>1</v>
      </c>
      <c r="H24" s="81">
        <f>IF(ROUND(G24,0)=0,1,ROUND(G24,0))</f>
        <v>1</v>
      </c>
      <c r="I24" s="292">
        <v>1</v>
      </c>
    </row>
    <row r="25" spans="1:9" ht="25.5" customHeight="1">
      <c r="F25" s="9"/>
      <c r="H25" s="43"/>
      <c r="I25" s="11"/>
    </row>
    <row r="26" spans="1:9" ht="25.5" customHeight="1" thickBot="1">
      <c r="A26" s="13" t="s">
        <v>48</v>
      </c>
      <c r="F26" s="9"/>
      <c r="I26" s="11"/>
    </row>
    <row r="27" spans="1:9" ht="25.5" customHeight="1" thickBot="1">
      <c r="B27" s="49"/>
      <c r="C27" s="50">
        <v>49060</v>
      </c>
      <c r="D27" s="46" t="s">
        <v>72</v>
      </c>
      <c r="E27" s="46"/>
      <c r="F27" s="39"/>
      <c r="G27" s="99"/>
      <c r="H27" s="354">
        <f>IF(I23="","実人数を入力してください",IF(ISBLANK(I23),C27*H23,IF(H23&lt;I23,C27*H23,C27*I23)))</f>
        <v>98120</v>
      </c>
      <c r="I27" s="11"/>
    </row>
    <row r="28" spans="1:9" ht="25.5" customHeight="1" thickBot="1">
      <c r="B28" s="52"/>
      <c r="C28" s="53">
        <v>6130</v>
      </c>
      <c r="D28" s="54" t="s">
        <v>73</v>
      </c>
      <c r="E28" s="54"/>
      <c r="F28" s="100"/>
      <c r="G28" s="101"/>
      <c r="H28" s="356">
        <f>IF(I24="","実人数を入力してください",IF(ISBLANK(I24),C28*H24,IF(H24&lt;I24,C28*H24,C28*I24)))</f>
        <v>6130</v>
      </c>
      <c r="I28" s="11"/>
    </row>
    <row r="29" spans="1:9" ht="25.5" customHeight="1" thickTop="1" thickBot="1">
      <c r="B29" s="56"/>
      <c r="C29" s="57" t="s">
        <v>74</v>
      </c>
      <c r="D29" s="57"/>
      <c r="E29" s="58"/>
      <c r="F29" s="58"/>
      <c r="G29" s="59"/>
      <c r="H29" s="318">
        <f>SUM(H27:H28)</f>
        <v>104250</v>
      </c>
      <c r="I29" s="11"/>
    </row>
    <row r="30" spans="1:9" ht="33.75" customHeight="1"/>
    <row r="31" spans="1:9" ht="33.75" customHeight="1"/>
    <row r="32" spans="1:9" ht="33.75" customHeight="1"/>
    <row r="33" ht="33.75" customHeight="1"/>
    <row r="34" ht="33.75" customHeight="1"/>
    <row r="35" ht="33.75" customHeight="1"/>
    <row r="36" ht="33.75" customHeight="1"/>
    <row r="37" ht="33.75" customHeight="1"/>
    <row r="38" ht="33.75" customHeight="1"/>
    <row r="39" ht="33.7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sheetData>
  <mergeCells count="12">
    <mergeCell ref="B4:C4"/>
    <mergeCell ref="D4:H4"/>
    <mergeCell ref="G7:H7"/>
    <mergeCell ref="C9:D9"/>
    <mergeCell ref="C10:D10"/>
    <mergeCell ref="B18:F18"/>
    <mergeCell ref="C11:D11"/>
    <mergeCell ref="B7:D7"/>
    <mergeCell ref="C12:D12"/>
    <mergeCell ref="C13:D13"/>
    <mergeCell ref="C17:D17"/>
    <mergeCell ref="C15:D15"/>
  </mergeCells>
  <phoneticPr fontId="1"/>
  <dataValidations count="1">
    <dataValidation type="list" allowBlank="1" showInputMessage="1" showErrorMessage="1" sqref="E10:E11 E15:E17" xr:uid="{00000000-0002-0000-0500-000000000000}">
      <formula1>"　,あり,なし"</formula1>
    </dataValidation>
  </dataValidations>
  <pageMargins left="0.92" right="0.56000000000000005" top="0.75" bottom="0.37" header="0.3" footer="0.3"/>
  <pageSetup paperSize="9" scale="89"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774A8-A30F-4602-A561-6944E8313C74}">
  <sheetPr>
    <tabColor theme="8" tint="0.39997558519241921"/>
    <pageSetUpPr fitToPage="1"/>
  </sheetPr>
  <dimension ref="A1:J100"/>
  <sheetViews>
    <sheetView view="pageBreakPreview" topLeftCell="A7" zoomScale="85" zoomScaleNormal="70" zoomScaleSheetLayoutView="85" workbookViewId="0">
      <selection activeCell="H20" sqref="H20"/>
    </sheetView>
  </sheetViews>
  <sheetFormatPr defaultColWidth="9" defaultRowHeight="18.75"/>
  <cols>
    <col min="1" max="1" width="2.875" style="11" customWidth="1"/>
    <col min="2" max="2" width="3" style="9" customWidth="1"/>
    <col min="3" max="3" width="16.375" style="9" customWidth="1"/>
    <col min="4" max="4" width="25.5" style="9" customWidth="1"/>
    <col min="5" max="5" width="8" style="9" customWidth="1"/>
    <col min="6" max="6" width="8" style="10" customWidth="1"/>
    <col min="7" max="7" width="11.75" style="10" hidden="1" customWidth="1"/>
    <col min="8" max="9" width="13.875" style="10" customWidth="1"/>
    <col min="10" max="16384" width="9" style="11"/>
  </cols>
  <sheetData>
    <row r="1" spans="1:10" s="8" customFormat="1" ht="31.5" customHeight="1">
      <c r="A1" s="347" t="s">
        <v>133</v>
      </c>
      <c r="B1" s="6"/>
      <c r="C1" s="6"/>
      <c r="D1" s="6"/>
      <c r="E1" s="6"/>
      <c r="F1" s="7"/>
      <c r="G1" s="7"/>
      <c r="H1" s="7"/>
      <c r="I1" s="7"/>
    </row>
    <row r="2" spans="1:10" s="351" customFormat="1" ht="30.75" customHeight="1">
      <c r="A2" s="347" t="s">
        <v>143</v>
      </c>
      <c r="B2" s="41"/>
      <c r="C2" s="41"/>
      <c r="D2" s="41"/>
      <c r="E2" s="41"/>
      <c r="F2" s="350"/>
      <c r="G2" s="350"/>
      <c r="H2" s="350"/>
      <c r="I2" s="350"/>
    </row>
    <row r="3" spans="1:10" ht="21.75" customHeight="1" thickBot="1">
      <c r="A3" s="5"/>
    </row>
    <row r="4" spans="1:10" ht="19.5" customHeight="1" thickBot="1">
      <c r="A4" s="9"/>
      <c r="B4" s="403" t="s">
        <v>0</v>
      </c>
      <c r="C4" s="403"/>
      <c r="D4" s="400" t="s">
        <v>52</v>
      </c>
      <c r="E4" s="401"/>
      <c r="F4" s="401"/>
      <c r="G4" s="401"/>
      <c r="H4" s="402"/>
    </row>
    <row r="5" spans="1:10" ht="19.5" customHeight="1">
      <c r="A5" s="9"/>
      <c r="C5" s="12"/>
      <c r="D5" s="12"/>
      <c r="E5" s="12"/>
      <c r="F5" s="12"/>
      <c r="G5" s="12"/>
      <c r="H5" s="12"/>
    </row>
    <row r="6" spans="1:10" ht="19.5" customHeight="1" thickBot="1">
      <c r="A6" s="13" t="s">
        <v>79</v>
      </c>
    </row>
    <row r="7" spans="1:10" ht="33.75" customHeight="1">
      <c r="B7" s="397"/>
      <c r="C7" s="379"/>
      <c r="D7" s="380"/>
      <c r="E7" s="18" t="s">
        <v>12</v>
      </c>
      <c r="F7" s="19" t="s">
        <v>13</v>
      </c>
      <c r="G7" s="420" t="s">
        <v>14</v>
      </c>
      <c r="H7" s="442"/>
    </row>
    <row r="8" spans="1:10" ht="24" customHeight="1" thickBot="1">
      <c r="B8" s="20" t="s">
        <v>15</v>
      </c>
      <c r="C8" s="85" t="s">
        <v>61</v>
      </c>
      <c r="D8" s="85"/>
      <c r="E8" s="21"/>
      <c r="F8" s="22"/>
      <c r="G8" s="60"/>
      <c r="H8" s="61"/>
    </row>
    <row r="9" spans="1:10" ht="28.5" customHeight="1" thickBot="1">
      <c r="B9" s="23"/>
      <c r="C9" s="440" t="s">
        <v>144</v>
      </c>
      <c r="D9" s="441"/>
      <c r="E9" s="138"/>
      <c r="F9" s="1">
        <v>1</v>
      </c>
      <c r="G9" s="102">
        <f>F9*1/30</f>
        <v>3.3333333333333333E-2</v>
      </c>
      <c r="H9" s="103">
        <f>ROUNDDOWN(G9,1)</f>
        <v>0</v>
      </c>
      <c r="J9" s="25"/>
    </row>
    <row r="10" spans="1:10" ht="28.5" customHeight="1" thickBot="1">
      <c r="B10" s="23"/>
      <c r="C10" s="430" t="s">
        <v>145</v>
      </c>
      <c r="D10" s="431"/>
      <c r="E10" s="24"/>
      <c r="F10" s="1">
        <v>5</v>
      </c>
      <c r="G10" s="62">
        <f>F10*1/20</f>
        <v>0.25</v>
      </c>
      <c r="H10" s="63">
        <f>ROUNDDOWN(G10,1)</f>
        <v>0.2</v>
      </c>
      <c r="J10" s="25"/>
    </row>
    <row r="11" spans="1:10" ht="24" customHeight="1" thickBot="1">
      <c r="B11" s="23"/>
      <c r="C11" s="385" t="s">
        <v>106</v>
      </c>
      <c r="D11" s="386"/>
      <c r="E11" s="117" t="s">
        <v>18</v>
      </c>
      <c r="F11" s="1">
        <v>6</v>
      </c>
      <c r="G11" s="62">
        <f>IF(E11="あり",F11/2,0)</f>
        <v>3</v>
      </c>
      <c r="H11" s="63">
        <f>ROUNDDOWN(G11,1)</f>
        <v>3</v>
      </c>
      <c r="J11" s="25"/>
    </row>
    <row r="12" spans="1:10" ht="24" customHeight="1" thickBot="1">
      <c r="B12" s="26"/>
      <c r="C12" s="438" t="s">
        <v>107</v>
      </c>
      <c r="D12" s="439"/>
      <c r="E12" s="118"/>
      <c r="F12" s="119"/>
      <c r="G12" s="123"/>
      <c r="H12" s="124">
        <v>1</v>
      </c>
      <c r="J12" s="25"/>
    </row>
    <row r="13" spans="1:10" ht="24" customHeight="1" thickTop="1">
      <c r="B13" s="26"/>
      <c r="C13" s="436" t="s">
        <v>65</v>
      </c>
      <c r="D13" s="437"/>
      <c r="E13" s="27"/>
      <c r="F13" s="28"/>
      <c r="G13" s="66"/>
      <c r="H13" s="67">
        <f>ROUND(SUM(H9:H12),0)</f>
        <v>4</v>
      </c>
      <c r="J13" s="25"/>
    </row>
    <row r="14" spans="1:10" ht="24" customHeight="1">
      <c r="B14" s="29" t="s">
        <v>20</v>
      </c>
      <c r="C14" s="379" t="s">
        <v>137</v>
      </c>
      <c r="D14" s="380"/>
      <c r="E14" s="4" t="s">
        <v>18</v>
      </c>
      <c r="F14" s="30"/>
      <c r="G14" s="68"/>
      <c r="H14" s="69">
        <f>IF(E14="あり",0.4,0)</f>
        <v>0.4</v>
      </c>
    </row>
    <row r="15" spans="1:10" ht="24" customHeight="1">
      <c r="B15" s="29" t="s">
        <v>22</v>
      </c>
      <c r="C15" s="379" t="s">
        <v>68</v>
      </c>
      <c r="D15" s="380"/>
      <c r="E15" s="4" t="s">
        <v>18</v>
      </c>
      <c r="F15" s="30"/>
      <c r="G15" s="68"/>
      <c r="H15" s="69">
        <f>IF(E15="あり",0.5,0)</f>
        <v>0.5</v>
      </c>
    </row>
    <row r="16" spans="1:10" ht="24" customHeight="1">
      <c r="B16" s="29" t="s">
        <v>86</v>
      </c>
      <c r="C16" s="144" t="s">
        <v>37</v>
      </c>
      <c r="D16" s="271"/>
      <c r="E16" s="4" t="s">
        <v>18</v>
      </c>
      <c r="F16" s="30"/>
      <c r="G16" s="68"/>
      <c r="H16" s="69">
        <f>IF(E16="あり",0.6,0)</f>
        <v>0.6</v>
      </c>
    </row>
    <row r="17" spans="1:10" ht="27.75" customHeight="1">
      <c r="B17" s="31" t="s">
        <v>87</v>
      </c>
      <c r="C17" s="434" t="s">
        <v>108</v>
      </c>
      <c r="D17" s="435"/>
      <c r="E17" s="4" t="s">
        <v>18</v>
      </c>
      <c r="F17" s="30"/>
      <c r="G17" s="68"/>
      <c r="H17" s="70">
        <f>IF(E17="あり",-1,0)</f>
        <v>-1</v>
      </c>
    </row>
    <row r="18" spans="1:10" ht="27.75" customHeight="1" thickBot="1">
      <c r="B18" s="32" t="s">
        <v>109</v>
      </c>
      <c r="C18" s="33"/>
      <c r="D18" s="33"/>
      <c r="E18" s="34"/>
      <c r="F18" s="35"/>
      <c r="G18" s="71"/>
      <c r="H18" s="114">
        <v>1.3</v>
      </c>
    </row>
    <row r="19" spans="1:10" ht="24" customHeight="1" thickTop="1" thickBot="1">
      <c r="B19" s="36" t="s">
        <v>42</v>
      </c>
      <c r="F19" s="37"/>
      <c r="G19" s="73"/>
      <c r="H19" s="74">
        <f>SUM(H13:H18)</f>
        <v>5.8</v>
      </c>
    </row>
    <row r="20" spans="1:10" ht="24" customHeight="1" thickBot="1">
      <c r="B20" s="120" t="s">
        <v>43</v>
      </c>
      <c r="C20" s="121"/>
      <c r="D20" s="121"/>
      <c r="E20" s="121"/>
      <c r="F20" s="122"/>
      <c r="G20" s="75"/>
      <c r="H20" s="192">
        <f>ROUND(H19,0)</f>
        <v>6</v>
      </c>
    </row>
    <row r="21" spans="1:10" ht="24" customHeight="1">
      <c r="B21" s="41"/>
      <c r="G21" s="42"/>
      <c r="H21" s="43"/>
    </row>
    <row r="22" spans="1:10" ht="33.75" customHeight="1" thickBot="1">
      <c r="A22" s="13" t="s">
        <v>127</v>
      </c>
      <c r="F22" s="9"/>
      <c r="H22" s="352" t="s">
        <v>124</v>
      </c>
      <c r="I22" s="353" t="s">
        <v>123</v>
      </c>
    </row>
    <row r="23" spans="1:10" ht="25.5" customHeight="1" thickBot="1">
      <c r="B23" s="45" t="s">
        <v>46</v>
      </c>
      <c r="C23" s="359"/>
      <c r="D23" s="359"/>
      <c r="E23" s="359"/>
      <c r="F23" s="360"/>
      <c r="G23" s="47">
        <f>H20/3</f>
        <v>2</v>
      </c>
      <c r="H23" s="81">
        <f>IF(ROUND(G23,0)=0,1,ROUND(G23,0))</f>
        <v>2</v>
      </c>
      <c r="I23" s="292">
        <v>1</v>
      </c>
    </row>
    <row r="24" spans="1:10" ht="25.5" customHeight="1" thickBot="1">
      <c r="B24" s="49" t="s">
        <v>47</v>
      </c>
      <c r="C24" s="46"/>
      <c r="D24" s="46"/>
      <c r="E24" s="46"/>
      <c r="F24" s="320"/>
      <c r="G24" s="47">
        <f>H20/5</f>
        <v>1.2</v>
      </c>
      <c r="H24" s="81">
        <f>IF(ROUND(G24,0)=0,1,ROUND(G24,0))</f>
        <v>1</v>
      </c>
      <c r="I24" s="292">
        <v>2</v>
      </c>
    </row>
    <row r="25" spans="1:10" ht="25.5" customHeight="1">
      <c r="F25" s="9"/>
      <c r="H25" s="43"/>
      <c r="I25" s="11"/>
    </row>
    <row r="26" spans="1:10" ht="25.5" customHeight="1" thickBot="1">
      <c r="A26" s="13" t="s">
        <v>48</v>
      </c>
      <c r="F26" s="9"/>
      <c r="I26" s="11"/>
    </row>
    <row r="27" spans="1:10" ht="25.5" customHeight="1" thickBot="1">
      <c r="B27" s="49"/>
      <c r="C27" s="50">
        <v>49060</v>
      </c>
      <c r="D27" s="46" t="s">
        <v>72</v>
      </c>
      <c r="E27" s="46"/>
      <c r="F27" s="46"/>
      <c r="G27" s="51"/>
      <c r="H27" s="354">
        <f>IF(I23="","実人数を入力してください",IF(ISBLANK(I23),C27*H23,IF(H23&lt;I23,C27*H23,C27*I23)))</f>
        <v>49060</v>
      </c>
      <c r="I27" s="11"/>
    </row>
    <row r="28" spans="1:10" ht="25.5" customHeight="1" thickBot="1">
      <c r="B28" s="52"/>
      <c r="C28" s="53">
        <v>6130</v>
      </c>
      <c r="D28" s="54" t="s">
        <v>73</v>
      </c>
      <c r="E28" s="54"/>
      <c r="F28" s="54"/>
      <c r="G28" s="55"/>
      <c r="H28" s="356">
        <f>IF(I24="","実人数を入力してください",IF(ISBLANK(I24),C28*H24,IF(H24&lt;I24,C28*H24,C28*I24)))</f>
        <v>6130</v>
      </c>
      <c r="I28" s="11"/>
    </row>
    <row r="29" spans="1:10" s="10" customFormat="1" ht="25.5" customHeight="1" thickTop="1" thickBot="1">
      <c r="A29" s="11"/>
      <c r="B29" s="56"/>
      <c r="C29" s="57" t="s">
        <v>74</v>
      </c>
      <c r="D29" s="57"/>
      <c r="E29" s="59"/>
      <c r="F29" s="59"/>
      <c r="G29" s="59"/>
      <c r="H29" s="318">
        <f>SUM(H27:H28)</f>
        <v>55190</v>
      </c>
      <c r="J29" s="11"/>
    </row>
    <row r="30" spans="1:10" s="10" customFormat="1" ht="33.75" customHeight="1">
      <c r="A30" s="11"/>
      <c r="B30" s="9"/>
      <c r="C30" s="9"/>
      <c r="D30" s="9"/>
      <c r="E30" s="9"/>
      <c r="J30" s="11"/>
    </row>
    <row r="31" spans="1:10" s="10" customFormat="1" ht="33.75" customHeight="1">
      <c r="A31" s="11"/>
      <c r="B31" s="9"/>
      <c r="C31" s="9"/>
      <c r="D31" s="9"/>
      <c r="E31" s="9"/>
      <c r="J31" s="11"/>
    </row>
    <row r="32" spans="1:10" s="10" customFormat="1" ht="33.75" customHeight="1">
      <c r="A32" s="11"/>
      <c r="B32" s="9"/>
      <c r="C32" s="9"/>
      <c r="D32" s="9"/>
      <c r="E32" s="9"/>
      <c r="J32" s="11"/>
    </row>
    <row r="33" spans="1:10" s="10" customFormat="1" ht="33.75" customHeight="1">
      <c r="A33" s="11"/>
      <c r="B33" s="9"/>
      <c r="C33" s="9"/>
      <c r="D33" s="9"/>
      <c r="E33" s="9"/>
      <c r="J33" s="11"/>
    </row>
    <row r="34" spans="1:10" s="10" customFormat="1" ht="33.75" customHeight="1">
      <c r="A34" s="11"/>
      <c r="B34" s="9"/>
      <c r="C34" s="9"/>
      <c r="D34" s="9"/>
      <c r="E34" s="9"/>
      <c r="J34" s="11"/>
    </row>
    <row r="35" spans="1:10" s="10" customFormat="1" ht="33.75" customHeight="1">
      <c r="A35" s="11"/>
      <c r="B35" s="9"/>
      <c r="C35" s="9"/>
      <c r="D35" s="9"/>
      <c r="E35" s="9"/>
      <c r="J35" s="11"/>
    </row>
    <row r="36" spans="1:10" s="10" customFormat="1" ht="33.75" customHeight="1">
      <c r="A36" s="11"/>
      <c r="B36" s="9"/>
      <c r="C36" s="9"/>
      <c r="D36" s="9"/>
      <c r="E36" s="9"/>
      <c r="J36" s="11"/>
    </row>
    <row r="37" spans="1:10" s="10" customFormat="1" ht="33.75" customHeight="1">
      <c r="A37" s="11"/>
      <c r="B37" s="9"/>
      <c r="C37" s="9"/>
      <c r="D37" s="9"/>
      <c r="E37" s="9"/>
      <c r="J37" s="11"/>
    </row>
    <row r="38" spans="1:10" s="10" customFormat="1" ht="33.75" customHeight="1">
      <c r="A38" s="11"/>
      <c r="B38" s="9"/>
      <c r="C38" s="9"/>
      <c r="D38" s="9"/>
      <c r="E38" s="9"/>
      <c r="J38" s="11"/>
    </row>
    <row r="39" spans="1:10" s="10" customFormat="1" ht="33.75" customHeight="1">
      <c r="A39" s="11"/>
      <c r="B39" s="9"/>
      <c r="C39" s="9"/>
      <c r="D39" s="9"/>
      <c r="E39" s="9"/>
      <c r="J39" s="11"/>
    </row>
    <row r="40" spans="1:10" s="10" customFormat="1" ht="20.25" customHeight="1">
      <c r="A40" s="11"/>
      <c r="B40" s="9"/>
      <c r="C40" s="9"/>
      <c r="D40" s="9"/>
      <c r="E40" s="9"/>
      <c r="J40" s="11"/>
    </row>
    <row r="41" spans="1:10" s="10" customFormat="1" ht="20.25" customHeight="1">
      <c r="A41" s="11"/>
      <c r="B41" s="9"/>
      <c r="C41" s="9"/>
      <c r="D41" s="9"/>
      <c r="E41" s="9"/>
      <c r="J41" s="11"/>
    </row>
    <row r="42" spans="1:10" s="10" customFormat="1" ht="20.25" customHeight="1">
      <c r="A42" s="11"/>
      <c r="B42" s="9"/>
      <c r="C42" s="9"/>
      <c r="D42" s="9"/>
      <c r="E42" s="9"/>
      <c r="J42" s="11"/>
    </row>
    <row r="43" spans="1:10" s="10" customFormat="1" ht="20.25" customHeight="1">
      <c r="A43" s="11"/>
      <c r="B43" s="9"/>
      <c r="C43" s="9"/>
      <c r="D43" s="9"/>
      <c r="E43" s="9"/>
      <c r="J43" s="11"/>
    </row>
    <row r="44" spans="1:10" s="10" customFormat="1" ht="20.25" customHeight="1">
      <c r="A44" s="11"/>
      <c r="B44" s="9"/>
      <c r="C44" s="9"/>
      <c r="D44" s="9"/>
      <c r="E44" s="9"/>
      <c r="J44" s="11"/>
    </row>
    <row r="45" spans="1:10" ht="20.25" customHeight="1"/>
    <row r="46" spans="1:10" ht="20.25" customHeight="1"/>
    <row r="47" spans="1:10" ht="20.25" customHeight="1"/>
    <row r="48" spans="1:10"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sheetData>
  <mergeCells count="12">
    <mergeCell ref="C10:D10"/>
    <mergeCell ref="B4:C4"/>
    <mergeCell ref="D4:H4"/>
    <mergeCell ref="B7:D7"/>
    <mergeCell ref="G7:H7"/>
    <mergeCell ref="C9:D9"/>
    <mergeCell ref="C14:D14"/>
    <mergeCell ref="C15:D15"/>
    <mergeCell ref="C17:D17"/>
    <mergeCell ref="C11:D11"/>
    <mergeCell ref="C12:D12"/>
    <mergeCell ref="C13:D13"/>
  </mergeCells>
  <phoneticPr fontId="1"/>
  <dataValidations count="1">
    <dataValidation type="list" allowBlank="1" showInputMessage="1" showErrorMessage="1" sqref="E11 E14:E17" xr:uid="{55446E75-99BF-467C-9AC9-61E81B7188FF}">
      <formula1>"　,あり,なし"</formula1>
    </dataValidation>
  </dataValidations>
  <pageMargins left="0.92" right="0.56000000000000005" top="0.75" bottom="0.37" header="0.3" footer="0.3"/>
  <pageSetup paperSize="9" scale="85"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e3b49026f97a07750c626179a81d0fec">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c4293785eb9d886b4fb8f904fd662626"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R5_x5e74__x5ea6_ xmlns="da1c8303-a0d3-4e2f-85ac-13a5be3a0a81" xsi:nil="true"/>
    <_Flow_SignoffStatus xmlns="da1c8303-a0d3-4e2f-85ac-13a5be3a0a81" xsi:nil="true"/>
    <TaxCatchAll xmlns="d2f7064f-2b17-48c6-8de7-1e6aad73751f" xsi:nil="true"/>
  </documentManagement>
</p:properties>
</file>

<file path=customXml/itemProps1.xml><?xml version="1.0" encoding="utf-8"?>
<ds:datastoreItem xmlns:ds="http://schemas.openxmlformats.org/officeDocument/2006/customXml" ds:itemID="{F835439D-EFFF-4872-A1F1-E22D88CA6EB7}"/>
</file>

<file path=customXml/itemProps2.xml><?xml version="1.0" encoding="utf-8"?>
<ds:datastoreItem xmlns:ds="http://schemas.openxmlformats.org/officeDocument/2006/customXml" ds:itemID="{23176CDC-6CC4-41AC-B190-8538D68914A7}"/>
</file>

<file path=customXml/itemProps3.xml><?xml version="1.0" encoding="utf-8"?>
<ds:datastoreItem xmlns:ds="http://schemas.openxmlformats.org/officeDocument/2006/customXml" ds:itemID="{7BB2024F-9024-4764-98E3-353854C691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幼稚園</vt:lpstr>
      <vt:lpstr>保育所</vt:lpstr>
      <vt:lpstr>認定こども園</vt:lpstr>
      <vt:lpstr>小規模（事業所内）Ａ・Ｂ</vt:lpstr>
      <vt:lpstr>事業所内（定員20以上）</vt:lpstr>
      <vt:lpstr>小規模Ｃ</vt:lpstr>
      <vt:lpstr>満三歳以上小規模</vt:lpstr>
      <vt:lpstr>'事業所内（定員20以上）'!Print_Area</vt:lpstr>
      <vt:lpstr>'小規模（事業所内）Ａ・Ｂ'!Print_Area</vt:lpstr>
      <vt:lpstr>小規模Ｃ!Print_Area</vt:lpstr>
      <vt:lpstr>認定こども園!Print_Area</vt:lpstr>
      <vt:lpstr>保育所!Print_Area</vt:lpstr>
      <vt:lpstr>満三歳以上小規模!Print_Area</vt:lpstr>
      <vt:lpstr>幼稚園!Print_Area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2026-04-09T04:24:43Z</dcterms:created>
  <dcterms:modified xsi:type="dcterms:W3CDTF">2026-04-09T04:24:46Z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ies>
</file>