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1603" documentId="11_7F3980B1B6EA5D43862D126C087DF279D2D113DE" xr6:coauthVersionLast="47" xr6:coauthVersionMax="47" xr10:uidLastSave="{EA8F7BB2-E183-4CAD-A02E-A9F279E5D8AE}"/>
  <bookViews>
    <workbookView xWindow="22932" yWindow="-4404" windowWidth="30936" windowHeight="16896" xr2:uid="{00000000-000D-0000-FFFF-FFFF00000000}"/>
  </bookViews>
  <sheets>
    <sheet name="幼稚園" sheetId="9" r:id="rId1"/>
    <sheet name="保育所" sheetId="5" r:id="rId2"/>
    <sheet name="認定こども園 " sheetId="16" r:id="rId3"/>
    <sheet name="家庭的保育事業" sheetId="12" r:id="rId4"/>
    <sheet name="小規模（事業所内）Ａ・Ｂ" sheetId="7" r:id="rId5"/>
    <sheet name="小規模Ｃ" sheetId="8" r:id="rId6"/>
    <sheet name="事業所内（定員20以上）" sheetId="10" r:id="rId7"/>
    <sheet name="居宅訪問型保育事業" sheetId="14" r:id="rId8"/>
  </sheets>
  <definedNames>
    <definedName name="_xlnm.Print_Area" localSheetId="3">家庭的保育事業!$A$1:$H$17</definedName>
    <definedName name="_xlnm.Print_Area" localSheetId="7">居宅訪問型保育事業!$A$1:$H$15</definedName>
    <definedName name="_xlnm.Print_Area" localSheetId="6">'事業所内（定員20以上）'!$A$1:$H$30</definedName>
    <definedName name="_xlnm.Print_Area" localSheetId="4">'小規模（事業所内）Ａ・Ｂ'!$A$1:$H$28</definedName>
    <definedName name="_xlnm.Print_Area" localSheetId="5">小規模Ｃ!$A$1:$H$24</definedName>
    <definedName name="_xlnm.Print_Area" localSheetId="2">'認定こども園 '!$A$1:$L$63</definedName>
    <definedName name="_xlnm.Print_Area" localSheetId="1">保育所!$A$1:$L$41</definedName>
    <definedName name="_xlnm.Print_Area" localSheetId="0">幼稚園!$A$1:$H$38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16" l="1"/>
  <c r="L39" i="16"/>
  <c r="L38" i="16"/>
  <c r="L36" i="5"/>
  <c r="H45" i="16" l="1"/>
  <c r="H44" i="16"/>
  <c r="H25" i="10" l="1"/>
  <c r="H19" i="10"/>
  <c r="G21" i="5"/>
  <c r="K21" i="5"/>
  <c r="F22" i="5"/>
  <c r="G22" i="5" s="1"/>
  <c r="H22" i="5" s="1"/>
  <c r="H53" i="16" l="1"/>
  <c r="F27" i="16"/>
  <c r="H9" i="14"/>
  <c r="H11" i="14" s="1"/>
  <c r="H12" i="14" s="1"/>
  <c r="H15" i="14" s="1"/>
  <c r="G46" i="16"/>
  <c r="H46" i="16" s="1"/>
  <c r="K58" i="16"/>
  <c r="L58" i="16" s="1"/>
  <c r="G58" i="16"/>
  <c r="H58" i="16" s="1"/>
  <c r="F28" i="16"/>
  <c r="H54" i="16"/>
  <c r="H55" i="16"/>
  <c r="H51" i="16"/>
  <c r="H50" i="16"/>
  <c r="H49" i="16"/>
  <c r="H42" i="16"/>
  <c r="G36" i="16"/>
  <c r="F36" i="16"/>
  <c r="I36" i="16"/>
  <c r="F30" i="16"/>
  <c r="G29" i="16" s="1"/>
  <c r="H29" i="16" s="1"/>
  <c r="F29" i="16"/>
  <c r="I30" i="16"/>
  <c r="I29" i="16"/>
  <c r="H29" i="5" l="1"/>
  <c r="H36" i="5"/>
  <c r="G30" i="9"/>
  <c r="G29" i="9"/>
  <c r="G28" i="9"/>
  <c r="G26" i="9"/>
  <c r="G25" i="9"/>
  <c r="G24" i="9"/>
  <c r="G22" i="9"/>
  <c r="G27" i="16"/>
  <c r="H27" i="16" s="1"/>
  <c r="H36" i="16"/>
  <c r="I28" i="16"/>
  <c r="I27" i="16"/>
  <c r="G57" i="16"/>
  <c r="H57" i="16" s="1"/>
  <c r="I57" i="16"/>
  <c r="H15" i="16"/>
  <c r="H11" i="16"/>
  <c r="F15" i="16"/>
  <c r="F11" i="16"/>
  <c r="L56" i="16"/>
  <c r="E56" i="16"/>
  <c r="I54" i="16"/>
  <c r="I53" i="16"/>
  <c r="H52" i="16"/>
  <c r="I51" i="16"/>
  <c r="I50" i="16"/>
  <c r="I49" i="16"/>
  <c r="I48" i="16"/>
  <c r="H48" i="16"/>
  <c r="I47" i="16"/>
  <c r="H47" i="16"/>
  <c r="I46" i="16"/>
  <c r="I45" i="16"/>
  <c r="I44" i="16"/>
  <c r="I43" i="16"/>
  <c r="H43" i="16"/>
  <c r="I42" i="16"/>
  <c r="I41" i="16"/>
  <c r="H41" i="16"/>
  <c r="L40" i="16"/>
  <c r="H40" i="16"/>
  <c r="H39" i="16"/>
  <c r="H38" i="16"/>
  <c r="J35" i="16"/>
  <c r="K35" i="16" s="1"/>
  <c r="L35" i="16" s="1"/>
  <c r="F35" i="16"/>
  <c r="G35" i="16" s="1"/>
  <c r="H35" i="16" s="1"/>
  <c r="J34" i="16"/>
  <c r="K34" i="16" s="1"/>
  <c r="L34" i="16" s="1"/>
  <c r="F34" i="16"/>
  <c r="G34" i="16" s="1"/>
  <c r="H34" i="16" s="1"/>
  <c r="J33" i="16"/>
  <c r="K33" i="16" s="1"/>
  <c r="L33" i="16" s="1"/>
  <c r="F33" i="16"/>
  <c r="J32" i="16"/>
  <c r="K32" i="16" s="1"/>
  <c r="L32" i="16" s="1"/>
  <c r="F32" i="16"/>
  <c r="G32" i="16" s="1"/>
  <c r="H32" i="16" s="1"/>
  <c r="H7" i="16"/>
  <c r="F7" i="16"/>
  <c r="H6" i="16"/>
  <c r="G28" i="16" l="1"/>
  <c r="H28" i="16" s="1"/>
  <c r="H31" i="16" s="1"/>
  <c r="G33" i="16"/>
  <c r="H33" i="16" s="1"/>
  <c r="H37" i="16" s="1"/>
  <c r="H10" i="16"/>
  <c r="F10" i="16"/>
  <c r="H26" i="16" l="1"/>
  <c r="L37" i="16"/>
  <c r="L26" i="16" l="1"/>
  <c r="L59" i="16" s="1"/>
  <c r="L60" i="16" s="1"/>
  <c r="G20" i="10"/>
  <c r="G18" i="7"/>
  <c r="G30" i="5"/>
  <c r="H20" i="8" l="1"/>
  <c r="J34" i="5" l="1"/>
  <c r="L34" i="5"/>
  <c r="H16" i="7" l="1"/>
  <c r="L26" i="5"/>
  <c r="H28" i="5"/>
  <c r="G33" i="9"/>
  <c r="H24" i="10" l="1"/>
  <c r="H23" i="10"/>
  <c r="H21" i="10"/>
  <c r="H20" i="10"/>
  <c r="H21" i="8"/>
  <c r="G12" i="8"/>
  <c r="H9" i="8"/>
  <c r="G9" i="8"/>
  <c r="H18" i="7"/>
  <c r="H24" i="7" s="1"/>
  <c r="H25" i="7" s="1"/>
  <c r="H9" i="7"/>
  <c r="G14" i="7"/>
  <c r="H14" i="12"/>
  <c r="H13" i="12"/>
  <c r="H9" i="12"/>
  <c r="H8" i="12"/>
  <c r="G27" i="9"/>
  <c r="G23" i="5" l="1"/>
  <c r="H23" i="5"/>
  <c r="H20" i="5"/>
  <c r="G32" i="9"/>
  <c r="G23" i="9"/>
  <c r="G19" i="9"/>
  <c r="G18" i="9"/>
  <c r="E34" i="5"/>
  <c r="I35" i="5"/>
  <c r="H35" i="5"/>
  <c r="G21" i="9" l="1"/>
  <c r="G17" i="9" s="1"/>
  <c r="I28" i="5"/>
  <c r="I31" i="5"/>
  <c r="H32" i="5"/>
  <c r="H33" i="5" l="1"/>
  <c r="H31" i="5"/>
  <c r="H27" i="5"/>
  <c r="H26" i="5"/>
  <c r="H30" i="5" l="1"/>
  <c r="H8" i="14"/>
  <c r="H18" i="8"/>
  <c r="H17" i="8"/>
  <c r="H12" i="8"/>
  <c r="H22" i="7"/>
  <c r="H21" i="7"/>
  <c r="H19" i="7"/>
  <c r="H14" i="7"/>
  <c r="H11" i="12"/>
  <c r="H17" i="12" s="1"/>
  <c r="H10" i="12"/>
  <c r="G10" i="7"/>
  <c r="G34" i="9"/>
  <c r="H22" i="10" l="1"/>
  <c r="H16" i="8"/>
  <c r="H20" i="7"/>
  <c r="I33" i="5"/>
  <c r="J21" i="5"/>
  <c r="F20" i="5"/>
  <c r="G20" i="5" s="1"/>
  <c r="G31" i="9"/>
  <c r="G13" i="10" l="1"/>
  <c r="G14" i="10"/>
  <c r="H14" i="10" s="1"/>
  <c r="H13" i="10"/>
  <c r="G13" i="7"/>
  <c r="G12" i="7"/>
  <c r="G11" i="7"/>
  <c r="H11" i="7" s="1"/>
  <c r="H10" i="7"/>
  <c r="J24" i="5"/>
  <c r="J23" i="5"/>
  <c r="J20" i="5"/>
  <c r="K24" i="5" l="1"/>
  <c r="L24" i="5" s="1"/>
  <c r="K23" i="5"/>
  <c r="L23" i="5" s="1"/>
  <c r="K20" i="5"/>
  <c r="L20" i="5" s="1"/>
  <c r="I32" i="5"/>
  <c r="I30" i="5"/>
  <c r="I29" i="5"/>
  <c r="I27" i="5"/>
  <c r="I17" i="5"/>
  <c r="I9" i="5"/>
  <c r="I7" i="5"/>
  <c r="L21" i="5" l="1"/>
  <c r="L25" i="5" s="1"/>
  <c r="L19" i="5" s="1"/>
  <c r="L37" i="5" s="1"/>
  <c r="L38" i="5" s="1"/>
  <c r="F9" i="5" l="1"/>
  <c r="G16" i="10" l="1"/>
  <c r="H16" i="10" s="1"/>
  <c r="G17" i="10"/>
  <c r="H17" i="10" s="1"/>
  <c r="G15" i="10"/>
  <c r="H15" i="10" s="1"/>
  <c r="H18" i="10" l="1"/>
  <c r="H12" i="10" s="1"/>
  <c r="H26" i="10" s="1"/>
  <c r="H27" i="10" s="1"/>
  <c r="H30" i="10" s="1"/>
  <c r="F21" i="5" l="1"/>
  <c r="F23" i="5"/>
  <c r="F24" i="5"/>
  <c r="H21" i="5" l="1"/>
  <c r="H25" i="5" s="1"/>
  <c r="H19" i="5" s="1"/>
  <c r="H37" i="5" s="1"/>
  <c r="H38" i="5" s="1"/>
  <c r="H41" i="5" s="1"/>
  <c r="F8" i="9"/>
  <c r="G13" i="8" l="1"/>
  <c r="H13" i="8" s="1"/>
  <c r="H14" i="8" s="1"/>
  <c r="H8" i="8" s="1"/>
  <c r="H15" i="8"/>
  <c r="H17" i="7"/>
  <c r="H13" i="7"/>
  <c r="H12" i="7"/>
  <c r="G24" i="5"/>
  <c r="H24" i="5" s="1"/>
  <c r="H28" i="7" l="1"/>
  <c r="H24" i="8"/>
  <c r="G35" i="9" l="1"/>
  <c r="G38" i="9" s="1"/>
  <c r="H59" i="16" l="1"/>
  <c r="H60" i="16" s="1"/>
  <c r="H63"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3" authorId="0" shapeId="0" xr:uid="{00000000-0006-0000-0000-000001000000}">
      <text>
        <r>
          <rPr>
            <sz val="12"/>
            <color indexed="81"/>
            <rFont val="MS P ゴシック"/>
            <family val="3"/>
            <charset val="128"/>
          </rPr>
          <t>加算算定上の「加配人数」を入力</t>
        </r>
      </text>
    </comment>
    <comment ref="F25" authorId="0" shapeId="0" xr:uid="{FE3EFE85-E32F-46AD-9A8F-676EF62144AC}">
      <text>
        <r>
          <rPr>
            <sz val="12"/>
            <color indexed="81"/>
            <rFont val="MS P ゴシック"/>
            <family val="3"/>
            <charset val="128"/>
          </rPr>
          <t>適用されている区分を入力</t>
        </r>
      </text>
    </comment>
    <comment ref="F27" authorId="0" shapeId="0" xr:uid="{985AD5B1-68A6-4705-BD74-7D409894557D}">
      <text>
        <r>
          <rPr>
            <sz val="12"/>
            <color indexed="81"/>
            <rFont val="MS P ゴシック"/>
            <family val="3"/>
            <charset val="128"/>
          </rPr>
          <t>適用されている区分を入力</t>
        </r>
      </text>
    </comment>
    <comment ref="C31" authorId="0" shapeId="0" xr:uid="{00000000-0006-0000-0000-000002000000}">
      <text>
        <r>
          <rPr>
            <sz val="11"/>
            <color indexed="81"/>
            <rFont val="MS P ゴシック"/>
            <family val="3"/>
            <charset val="128"/>
          </rPr>
          <t>A:配置を受けていること</t>
        </r>
      </text>
    </comment>
    <comment ref="F32" authorId="0" shapeId="0" xr:uid="{00000000-0006-0000-0000-000003000000}">
      <text>
        <r>
          <rPr>
            <sz val="12"/>
            <color indexed="81"/>
            <rFont val="MS P ゴシック"/>
            <family val="3"/>
            <charset val="128"/>
          </rPr>
          <t>「必要教員数－配置教員数」
の値を入力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0" authorId="0" shapeId="0" xr:uid="{01EE04BA-BC00-45C5-ADF3-B4E7B484EDFF}">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F32" authorId="0" shapeId="0" xr:uid="{AB2D7BC8-FEB4-4E5B-823F-B7F4E73135D1}">
      <text>
        <r>
          <rPr>
            <sz val="12"/>
            <color indexed="81"/>
            <rFont val="MS P ゴシック"/>
            <family val="3"/>
            <charset val="128"/>
          </rPr>
          <t>加算算定上の「加配人数」を入力</t>
        </r>
      </text>
    </comment>
    <comment ref="C33" authorId="0" shapeId="0" xr:uid="{00000000-0006-0000-0100-000001000000}">
      <text>
        <r>
          <rPr>
            <sz val="12"/>
            <color indexed="81"/>
            <rFont val="MS P ゴシック"/>
            <family val="3"/>
            <charset val="128"/>
          </rPr>
          <t>A：配置であること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3" authorId="0" shapeId="0" xr:uid="{7517B062-C8D4-40C8-A80D-F0831DDBFE45}">
      <text>
        <r>
          <rPr>
            <sz val="12"/>
            <color indexed="81"/>
            <rFont val="ＭＳ Ｐゴシック"/>
            <family val="3"/>
            <charset val="128"/>
          </rPr>
          <t>加算算定上の「加配人数」を入力</t>
        </r>
      </text>
    </comment>
    <comment ref="F46" authorId="0" shapeId="0" xr:uid="{B7FE7396-DFC3-4E64-8132-B532BFBA6D71}">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C52" authorId="0" shapeId="0" xr:uid="{CEDF321C-5F28-4AF8-B6F0-9A9D7567E592}">
      <text>
        <r>
          <rPr>
            <sz val="12"/>
            <color indexed="81"/>
            <rFont val="MS P ゴシック"/>
            <family val="3"/>
            <charset val="128"/>
          </rPr>
          <t>A[配置」であること</t>
        </r>
      </text>
    </comment>
    <comment ref="F53" authorId="0" shapeId="0" xr:uid="{C6D2FA8B-8214-4D80-9D8B-68A48C7BBB99}">
      <text>
        <r>
          <rPr>
            <sz val="12"/>
            <color indexed="81"/>
            <rFont val="MS P ゴシック"/>
            <family val="3"/>
            <charset val="128"/>
          </rPr>
          <t>適用を受ける区分を入力</t>
        </r>
      </text>
    </comment>
    <comment ref="F54" authorId="0" shapeId="0" xr:uid="{55206890-B398-4C30-926A-1FB7A939C15D}">
      <text>
        <r>
          <rPr>
            <sz val="12"/>
            <color indexed="81"/>
            <rFont val="MS P ゴシック"/>
            <family val="3"/>
            <charset val="128"/>
          </rPr>
          <t>「必要保育教諭等数－配置保育教諭等数」
の値を入力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8" authorId="0" shapeId="0" xr:uid="{D67D05F9-2991-46C2-A3C2-9E7EE750CDB7}">
      <text>
        <r>
          <rPr>
            <sz val="12"/>
            <color indexed="81"/>
            <rFont val="MS P ゴシック"/>
            <family val="3"/>
            <charset val="128"/>
          </rPr>
          <t>利用子どもの人数に応じて選択</t>
        </r>
      </text>
    </comment>
    <comment ref="F9" authorId="0" shapeId="0" xr:uid="{29818EF5-03EA-4D35-8E4C-014A1E06037A}">
      <text>
        <r>
          <rPr>
            <sz val="12"/>
            <color indexed="81"/>
            <rFont val="MS P ゴシック"/>
            <family val="3"/>
            <charset val="128"/>
          </rPr>
          <t>特別な支援が必要な利用子どもの人数を入力</t>
        </r>
      </text>
    </comment>
    <comment ref="C10" authorId="0" shapeId="0" xr:uid="{00000000-0006-0000-0300-000001000000}">
      <text>
        <r>
          <rPr>
            <sz val="12"/>
            <color indexed="81"/>
            <rFont val="MS P ゴシック"/>
            <family val="3"/>
            <charset val="128"/>
          </rPr>
          <t>A「配置」であること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8" authorId="0" shapeId="0" xr:uid="{EB895D81-FF6B-410A-B49A-68206948A85C}">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C20" authorId="0" shapeId="0" xr:uid="{00000000-0006-0000-0400-000001000000}">
      <text>
        <r>
          <rPr>
            <sz val="12"/>
            <color indexed="81"/>
            <rFont val="MS P ゴシック"/>
            <family val="3"/>
            <charset val="128"/>
          </rPr>
          <t>A「配置」であること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6" authorId="0" shapeId="0" xr:uid="{00000000-0006-0000-0500-000001000000}">
      <text>
        <r>
          <rPr>
            <sz val="12"/>
            <color indexed="81"/>
            <rFont val="MS P ゴシック"/>
            <family val="3"/>
            <charset val="128"/>
          </rPr>
          <t>A「配置」であること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0" authorId="0" shapeId="0" xr:uid="{30A9B6F2-C034-40A0-8480-82A314171602}">
      <text>
        <r>
          <rPr>
            <sz val="12"/>
            <color indexed="81"/>
            <rFont val="ＭＳ Ｐゴシック"/>
            <family val="3"/>
            <charset val="128"/>
          </rPr>
          <t>休日保育の年間延べ利用子ども数を入力</t>
        </r>
        <r>
          <rPr>
            <sz val="10"/>
            <color indexed="81"/>
            <rFont val="ＭＳ Ｐゴシック"/>
            <family val="3"/>
            <charset val="128"/>
          </rPr>
          <t xml:space="preserve">
</t>
        </r>
      </text>
    </comment>
    <comment ref="C22" authorId="0" shapeId="0" xr:uid="{00000000-0006-0000-0600-000001000000}">
      <text>
        <r>
          <rPr>
            <sz val="12"/>
            <color indexed="81"/>
            <rFont val="MS P ゴシック"/>
            <family val="3"/>
            <charset val="128"/>
          </rPr>
          <t>A「配置」であること</t>
        </r>
      </text>
    </comment>
  </commentList>
</comments>
</file>

<file path=xl/sharedStrings.xml><?xml version="1.0" encoding="utf-8"?>
<sst xmlns="http://schemas.openxmlformats.org/spreadsheetml/2006/main" count="479" uniqueCount="163">
  <si>
    <t>在籍園児数</t>
    <rPh sb="0" eb="2">
      <t>ザイセキ</t>
    </rPh>
    <rPh sb="2" eb="4">
      <t>エンジ</t>
    </rPh>
    <rPh sb="4" eb="5">
      <t>スウ</t>
    </rPh>
    <phoneticPr fontId="1"/>
  </si>
  <si>
    <t>チーム保育加配加算</t>
    <rPh sb="3" eb="5">
      <t>ホイク</t>
    </rPh>
    <rPh sb="5" eb="7">
      <t>カハイ</t>
    </rPh>
    <rPh sb="7" eb="9">
      <t>カサン</t>
    </rPh>
    <phoneticPr fontId="1"/>
  </si>
  <si>
    <t>通園送迎加算</t>
    <rPh sb="0" eb="2">
      <t>ツウエン</t>
    </rPh>
    <rPh sb="2" eb="4">
      <t>ソウゲイ</t>
    </rPh>
    <rPh sb="4" eb="6">
      <t>カサン</t>
    </rPh>
    <phoneticPr fontId="1"/>
  </si>
  <si>
    <t>主幹教諭等専任加算</t>
    <rPh sb="0" eb="2">
      <t>シュカン</t>
    </rPh>
    <rPh sb="2" eb="4">
      <t>キョウユ</t>
    </rPh>
    <rPh sb="4" eb="5">
      <t>トウ</t>
    </rPh>
    <rPh sb="5" eb="7">
      <t>センニン</t>
    </rPh>
    <rPh sb="7" eb="9">
      <t>カサン</t>
    </rPh>
    <phoneticPr fontId="1"/>
  </si>
  <si>
    <t>指導充実加配加算</t>
    <rPh sb="0" eb="2">
      <t>シドウ</t>
    </rPh>
    <rPh sb="2" eb="4">
      <t>ジュウジツ</t>
    </rPh>
    <rPh sb="4" eb="6">
      <t>カハイ</t>
    </rPh>
    <rPh sb="6" eb="8">
      <t>カサン</t>
    </rPh>
    <phoneticPr fontId="1"/>
  </si>
  <si>
    <t>年齢別配置基準</t>
    <rPh sb="0" eb="2">
      <t>ネンレイ</t>
    </rPh>
    <rPh sb="2" eb="3">
      <t>ベツ</t>
    </rPh>
    <rPh sb="3" eb="5">
      <t>ハイチ</t>
    </rPh>
    <rPh sb="5" eb="7">
      <t>キジュン</t>
    </rPh>
    <phoneticPr fontId="1"/>
  </si>
  <si>
    <t>あり</t>
  </si>
  <si>
    <t>なし</t>
  </si>
  <si>
    <t>4歳以上児</t>
    <rPh sb="1" eb="4">
      <t>サイイジョウ</t>
    </rPh>
    <rPh sb="2" eb="4">
      <t>イジョウ</t>
    </rPh>
    <rPh sb="4" eb="5">
      <t>ジ</t>
    </rPh>
    <phoneticPr fontId="1"/>
  </si>
  <si>
    <t>合計</t>
    <rPh sb="0" eb="2">
      <t>ゴウケイ</t>
    </rPh>
    <phoneticPr fontId="1"/>
  </si>
  <si>
    <t>ａ</t>
    <phoneticPr fontId="1"/>
  </si>
  <si>
    <t>年齢別配置基準による職員数</t>
    <rPh sb="0" eb="3">
      <t>ネンレイベツ</t>
    </rPh>
    <rPh sb="3" eb="7">
      <t>ハイキ</t>
    </rPh>
    <rPh sb="10" eb="13">
      <t>ショクインスウ</t>
    </rPh>
    <phoneticPr fontId="1"/>
  </si>
  <si>
    <t>１，２歳児</t>
    <rPh sb="3" eb="5">
      <t>サイジ</t>
    </rPh>
    <phoneticPr fontId="1"/>
  </si>
  <si>
    <t>０歳児</t>
    <rPh sb="1" eb="3">
      <t>サイジ</t>
    </rPh>
    <phoneticPr fontId="1"/>
  </si>
  <si>
    <t>主任保育士専任加算</t>
    <rPh sb="0" eb="2">
      <t>シュニン</t>
    </rPh>
    <rPh sb="2" eb="5">
      <t>ホイクシ</t>
    </rPh>
    <rPh sb="5" eb="7">
      <t>センニン</t>
    </rPh>
    <rPh sb="7" eb="9">
      <t>カサン</t>
    </rPh>
    <phoneticPr fontId="1"/>
  </si>
  <si>
    <t>保育標準時間認定の児童</t>
    <rPh sb="0" eb="2">
      <t>ホイク</t>
    </rPh>
    <rPh sb="2" eb="4">
      <t>ヒョウジュン</t>
    </rPh>
    <rPh sb="4" eb="6">
      <t>ジカン</t>
    </rPh>
    <rPh sb="6" eb="8">
      <t>ニンテイ</t>
    </rPh>
    <rPh sb="9" eb="11">
      <t>ジドウ</t>
    </rPh>
    <phoneticPr fontId="1"/>
  </si>
  <si>
    <t>ｂ</t>
    <phoneticPr fontId="1"/>
  </si>
  <si>
    <t>ｃ</t>
    <phoneticPr fontId="1"/>
  </si>
  <si>
    <t>ｄ</t>
    <phoneticPr fontId="1"/>
  </si>
  <si>
    <t>ｅ</t>
    <phoneticPr fontId="1"/>
  </si>
  <si>
    <t>ｆ</t>
    <phoneticPr fontId="1"/>
  </si>
  <si>
    <t>事務職員雇上加算</t>
    <rPh sb="0" eb="2">
      <t>ジム</t>
    </rPh>
    <rPh sb="2" eb="4">
      <t>ショクイン</t>
    </rPh>
    <rPh sb="4" eb="5">
      <t>ヤト</t>
    </rPh>
    <rPh sb="5" eb="6">
      <t>ア</t>
    </rPh>
    <rPh sb="6" eb="8">
      <t>カサン</t>
    </rPh>
    <phoneticPr fontId="1"/>
  </si>
  <si>
    <t>休日保育加算</t>
    <rPh sb="0" eb="2">
      <t>キュウジツ</t>
    </rPh>
    <rPh sb="2" eb="4">
      <t>ホイク</t>
    </rPh>
    <rPh sb="4" eb="6">
      <t>カサン</t>
    </rPh>
    <phoneticPr fontId="1"/>
  </si>
  <si>
    <t>チーム保育推進加算</t>
    <rPh sb="3" eb="5">
      <t>ホイク</t>
    </rPh>
    <rPh sb="5" eb="7">
      <t>スイシン</t>
    </rPh>
    <rPh sb="7" eb="9">
      <t>カサン</t>
    </rPh>
    <phoneticPr fontId="1"/>
  </si>
  <si>
    <t>入力
項目</t>
    <rPh sb="0" eb="2">
      <t>ニュウリョク</t>
    </rPh>
    <rPh sb="3" eb="5">
      <t>コウモク</t>
    </rPh>
    <phoneticPr fontId="1"/>
  </si>
  <si>
    <t>選択
項目</t>
    <rPh sb="0" eb="2">
      <t>センタク</t>
    </rPh>
    <rPh sb="3" eb="5">
      <t>コウモク</t>
    </rPh>
    <phoneticPr fontId="1"/>
  </si>
  <si>
    <t>施設・事業所名</t>
    <rPh sb="0" eb="2">
      <t>シセツ</t>
    </rPh>
    <rPh sb="3" eb="6">
      <t>ジギョウショ</t>
    </rPh>
    <rPh sb="6" eb="7">
      <t>メイ</t>
    </rPh>
    <phoneticPr fontId="1"/>
  </si>
  <si>
    <t>○○○保育所</t>
    <rPh sb="3" eb="6">
      <t>ホイクショ</t>
    </rPh>
    <phoneticPr fontId="1"/>
  </si>
  <si>
    <t>職員数
（自動計算）</t>
    <rPh sb="0" eb="3">
      <t>ショクインスウ</t>
    </rPh>
    <rPh sb="5" eb="7">
      <t>ジドウ</t>
    </rPh>
    <rPh sb="7" eb="9">
      <t>ケイサン</t>
    </rPh>
    <phoneticPr fontId="1"/>
  </si>
  <si>
    <t>小計（小数点第一位四捨五入）</t>
    <rPh sb="0" eb="2">
      <t>ショウケイ</t>
    </rPh>
    <rPh sb="3" eb="6">
      <t>ショウスウテン</t>
    </rPh>
    <rPh sb="6" eb="7">
      <t>ダイ</t>
    </rPh>
    <rPh sb="7" eb="9">
      <t>イチイ</t>
    </rPh>
    <rPh sb="9" eb="13">
      <t>シシャゴニュウ</t>
    </rPh>
    <phoneticPr fontId="1"/>
  </si>
  <si>
    <t>○○○認定こども園</t>
    <rPh sb="3" eb="5">
      <t>ニン</t>
    </rPh>
    <phoneticPr fontId="1"/>
  </si>
  <si>
    <t>d</t>
    <phoneticPr fontId="1"/>
  </si>
  <si>
    <t>事務職員配置加算</t>
    <rPh sb="0" eb="2">
      <t>ジム</t>
    </rPh>
    <rPh sb="2" eb="4">
      <t>ショクイン</t>
    </rPh>
    <rPh sb="4" eb="6">
      <t>ハイチ</t>
    </rPh>
    <rPh sb="6" eb="8">
      <t>カサン</t>
    </rPh>
    <phoneticPr fontId="1"/>
  </si>
  <si>
    <t>調理員</t>
    <rPh sb="0" eb="3">
      <t>チョウリイン</t>
    </rPh>
    <phoneticPr fontId="1"/>
  </si>
  <si>
    <t>学級編制調整加配加算</t>
    <rPh sb="0" eb="2">
      <t>ガッキュウ</t>
    </rPh>
    <rPh sb="2" eb="4">
      <t>ヘンセイ</t>
    </rPh>
    <rPh sb="4" eb="6">
      <t>チョウセイ</t>
    </rPh>
    <rPh sb="6" eb="8">
      <t>カハイ</t>
    </rPh>
    <rPh sb="8" eb="10">
      <t>カサン</t>
    </rPh>
    <phoneticPr fontId="1"/>
  </si>
  <si>
    <t>事務負担対応加配加算</t>
    <rPh sb="0" eb="2">
      <t>ジム</t>
    </rPh>
    <rPh sb="2" eb="4">
      <t>フタン</t>
    </rPh>
    <rPh sb="4" eb="6">
      <t>タイオウ</t>
    </rPh>
    <rPh sb="6" eb="8">
      <t>カハイ</t>
    </rPh>
    <rPh sb="8" eb="10">
      <t>カサン</t>
    </rPh>
    <phoneticPr fontId="1"/>
  </si>
  <si>
    <t>１号</t>
    <rPh sb="1" eb="2">
      <t>ゴウ</t>
    </rPh>
    <phoneticPr fontId="1"/>
  </si>
  <si>
    <t>２・３号</t>
    <rPh sb="3" eb="4">
      <t>ゴウ</t>
    </rPh>
    <phoneticPr fontId="1"/>
  </si>
  <si>
    <t>（小規模保育所A型、Ｂ型）</t>
  </si>
  <si>
    <t>調整</t>
    <rPh sb="0" eb="2">
      <t>チョウセイ</t>
    </rPh>
    <phoneticPr fontId="1"/>
  </si>
  <si>
    <t>加算</t>
    <rPh sb="0" eb="2">
      <t>カサン</t>
    </rPh>
    <phoneticPr fontId="1"/>
  </si>
  <si>
    <t>障害児（障害児保育加算ありの場合）</t>
    <rPh sb="0" eb="3">
      <t>ショウガイジ</t>
    </rPh>
    <rPh sb="4" eb="7">
      <t>ショウガイジ</t>
    </rPh>
    <rPh sb="7" eb="9">
      <t>ホイク</t>
    </rPh>
    <rPh sb="9" eb="11">
      <t>カサン</t>
    </rPh>
    <rPh sb="14" eb="16">
      <t>バアイ</t>
    </rPh>
    <phoneticPr fontId="1"/>
  </si>
  <si>
    <t>（小規模保育所Ｃ型）</t>
    <phoneticPr fontId="1"/>
  </si>
  <si>
    <t xml:space="preserve"> グループの利用子ども数（障害児除く）</t>
    <rPh sb="6" eb="8">
      <t>リヨウ</t>
    </rPh>
    <rPh sb="8" eb="9">
      <t>コ</t>
    </rPh>
    <rPh sb="11" eb="12">
      <t>スウ</t>
    </rPh>
    <rPh sb="13" eb="16">
      <t>ショウガイジ</t>
    </rPh>
    <rPh sb="16" eb="17">
      <t>ノゾ</t>
    </rPh>
    <phoneticPr fontId="1"/>
  </si>
  <si>
    <t xml:space="preserve"> 障害児</t>
    <rPh sb="1" eb="4">
      <t>ショウガイジ</t>
    </rPh>
    <phoneticPr fontId="1"/>
  </si>
  <si>
    <t>障害児保育加算</t>
    <rPh sb="0" eb="3">
      <t>ショウガイジ</t>
    </rPh>
    <rPh sb="3" eb="5">
      <t>ホイク</t>
    </rPh>
    <rPh sb="5" eb="7">
      <t>カサン</t>
    </rPh>
    <phoneticPr fontId="1"/>
  </si>
  <si>
    <t>○○○幼稚園</t>
    <rPh sb="3" eb="6">
      <t>ヨウチエン</t>
    </rPh>
    <phoneticPr fontId="1"/>
  </si>
  <si>
    <t>満たさない</t>
  </si>
  <si>
    <t>（参考）加算見込額（円）</t>
    <rPh sb="1" eb="3">
      <t>サンコウ</t>
    </rPh>
    <rPh sb="4" eb="6">
      <t>カサン</t>
    </rPh>
    <rPh sb="6" eb="8">
      <t>ミコ</t>
    </rPh>
    <rPh sb="8" eb="9">
      <t>ガク</t>
    </rPh>
    <rPh sb="10" eb="11">
      <t>エン</t>
    </rPh>
    <phoneticPr fontId="1"/>
  </si>
  <si>
    <t>0．基礎情報</t>
    <rPh sb="2" eb="4">
      <t>キソ</t>
    </rPh>
    <rPh sb="4" eb="6">
      <t>ジョウホウ</t>
    </rPh>
    <phoneticPr fontId="1"/>
  </si>
  <si>
    <t>利用定員数</t>
    <rPh sb="0" eb="2">
      <t>リヨウ</t>
    </rPh>
    <rPh sb="2" eb="4">
      <t>テイイン</t>
    </rPh>
    <rPh sb="4" eb="5">
      <t>スウ</t>
    </rPh>
    <phoneticPr fontId="1"/>
  </si>
  <si>
    <t>４歳児以上児</t>
    <rPh sb="1" eb="3">
      <t>サイジ</t>
    </rPh>
    <rPh sb="3" eb="5">
      <t>イジョウ</t>
    </rPh>
    <rPh sb="5" eb="6">
      <t>ジ</t>
    </rPh>
    <phoneticPr fontId="1"/>
  </si>
  <si>
    <t>うち満３歳児</t>
    <rPh sb="2" eb="3">
      <t>マン</t>
    </rPh>
    <rPh sb="4" eb="5">
      <t>サイ</t>
    </rPh>
    <rPh sb="5" eb="6">
      <t>ジ</t>
    </rPh>
    <phoneticPr fontId="1"/>
  </si>
  <si>
    <t>入力項目</t>
    <rPh sb="0" eb="2">
      <t>ニュウリョク</t>
    </rPh>
    <rPh sb="2" eb="4">
      <t>コウモク</t>
    </rPh>
    <phoneticPr fontId="1"/>
  </si>
  <si>
    <t>満３歳児配置改善加算</t>
    <rPh sb="0" eb="1">
      <t>マン</t>
    </rPh>
    <rPh sb="2" eb="3">
      <t>サイ</t>
    </rPh>
    <rPh sb="3" eb="4">
      <t>ジ</t>
    </rPh>
    <rPh sb="4" eb="6">
      <t>ハイチ</t>
    </rPh>
    <rPh sb="6" eb="8">
      <t>カイゼン</t>
    </rPh>
    <rPh sb="8" eb="10">
      <t>カサン</t>
    </rPh>
    <phoneticPr fontId="1"/>
  </si>
  <si>
    <t>３歳児配置改善加算</t>
    <phoneticPr fontId="1"/>
  </si>
  <si>
    <t>（4歳以上児）</t>
    <rPh sb="2" eb="5">
      <t>サイイジョウ</t>
    </rPh>
    <rPh sb="3" eb="5">
      <t>イジョウ</t>
    </rPh>
    <rPh sb="5" eb="6">
      <t>ジ</t>
    </rPh>
    <phoneticPr fontId="1"/>
  </si>
  <si>
    <t>３歳児（※満３歳児含む）</t>
    <rPh sb="1" eb="2">
      <t>サイ</t>
    </rPh>
    <rPh sb="2" eb="3">
      <t>ジ</t>
    </rPh>
    <rPh sb="5" eb="6">
      <t>マン</t>
    </rPh>
    <rPh sb="7" eb="8">
      <t>サイ</t>
    </rPh>
    <rPh sb="8" eb="9">
      <t>ジ</t>
    </rPh>
    <rPh sb="9" eb="10">
      <t>フク</t>
    </rPh>
    <phoneticPr fontId="1"/>
  </si>
  <si>
    <t>３歳児</t>
    <rPh sb="1" eb="2">
      <t>サイ</t>
    </rPh>
    <rPh sb="2" eb="3">
      <t>ジ</t>
    </rPh>
    <phoneticPr fontId="1"/>
  </si>
  <si>
    <t>利用定員数に基づく職員数</t>
    <rPh sb="0" eb="2">
      <t>リヨウ</t>
    </rPh>
    <rPh sb="2" eb="4">
      <t>テイイン</t>
    </rPh>
    <rPh sb="4" eb="5">
      <t>スウ</t>
    </rPh>
    <rPh sb="6" eb="7">
      <t>モト</t>
    </rPh>
    <rPh sb="9" eb="12">
      <t>ショクインスウ</t>
    </rPh>
    <phoneticPr fontId="1"/>
  </si>
  <si>
    <t>年齢別児童数</t>
    <rPh sb="0" eb="3">
      <t>ネンレイベツ</t>
    </rPh>
    <rPh sb="3" eb="6">
      <t>ジドウスウ</t>
    </rPh>
    <phoneticPr fontId="1"/>
  </si>
  <si>
    <t>主任保育教諭等の専任化により子育て支援の取組を実施していない場合であって、代替保育教諭等を配置していない場合</t>
    <rPh sb="0" eb="2">
      <t>シュニン</t>
    </rPh>
    <rPh sb="2" eb="4">
      <t>ホイク</t>
    </rPh>
    <rPh sb="4" eb="6">
      <t>キョウユ</t>
    </rPh>
    <rPh sb="6" eb="7">
      <t>トウ</t>
    </rPh>
    <rPh sb="8" eb="10">
      <t>センニン</t>
    </rPh>
    <rPh sb="10" eb="11">
      <t>カ</t>
    </rPh>
    <rPh sb="14" eb="17">
      <t>コソ</t>
    </rPh>
    <rPh sb="17" eb="19">
      <t>シエン</t>
    </rPh>
    <rPh sb="20" eb="22">
      <t>トリクミ</t>
    </rPh>
    <rPh sb="23" eb="25">
      <t>ジッシ</t>
    </rPh>
    <rPh sb="30" eb="32">
      <t>バアイ</t>
    </rPh>
    <rPh sb="37" eb="39">
      <t>ダイタイ</t>
    </rPh>
    <rPh sb="39" eb="41">
      <t>ホイク</t>
    </rPh>
    <rPh sb="41" eb="43">
      <t>キョウユ</t>
    </rPh>
    <rPh sb="43" eb="44">
      <t>トウ</t>
    </rPh>
    <rPh sb="45" eb="47">
      <t>ハイチ</t>
    </rPh>
    <rPh sb="52" eb="54">
      <t>バアイ</t>
    </rPh>
    <phoneticPr fontId="1"/>
  </si>
  <si>
    <t>　３歳児配置改善加算</t>
    <phoneticPr fontId="1"/>
  </si>
  <si>
    <t>　満３歳児対応加配加算</t>
    <rPh sb="1" eb="2">
      <t>マン</t>
    </rPh>
    <rPh sb="3" eb="4">
      <t>サイ</t>
    </rPh>
    <rPh sb="4" eb="5">
      <t>ジ</t>
    </rPh>
    <rPh sb="5" eb="7">
      <t>タイオウ</t>
    </rPh>
    <rPh sb="7" eb="9">
      <t>カハイ</t>
    </rPh>
    <rPh sb="9" eb="11">
      <t>カサン</t>
    </rPh>
    <phoneticPr fontId="1"/>
  </si>
  <si>
    <t>（事業所内保育所　定員6人以上　小規模A型、Ｂ型適用）</t>
    <rPh sb="1" eb="4">
      <t>ジギョウショ</t>
    </rPh>
    <rPh sb="4" eb="5">
      <t>ナイ</t>
    </rPh>
    <rPh sb="9" eb="11">
      <t>テイイン</t>
    </rPh>
    <rPh sb="12" eb="15">
      <t>ニンイジョウ</t>
    </rPh>
    <rPh sb="16" eb="19">
      <t>ショウキボ</t>
    </rPh>
    <rPh sb="24" eb="26">
      <t>テキヨウ</t>
    </rPh>
    <phoneticPr fontId="1"/>
  </si>
  <si>
    <t>　家庭的補助者配置</t>
    <rPh sb="1" eb="4">
      <t>カテイテキ</t>
    </rPh>
    <rPh sb="4" eb="7">
      <t>ホジョシャ</t>
    </rPh>
    <rPh sb="7" eb="9">
      <t>ハイチ</t>
    </rPh>
    <phoneticPr fontId="1"/>
  </si>
  <si>
    <t>（事業所内保育所　定員２０人以上）</t>
    <rPh sb="1" eb="4">
      <t>ジギョウショ</t>
    </rPh>
    <rPh sb="4" eb="5">
      <t>ナイ</t>
    </rPh>
    <rPh sb="9" eb="11">
      <t>テイイン</t>
    </rPh>
    <rPh sb="13" eb="16">
      <t>ニンイジョウ</t>
    </rPh>
    <phoneticPr fontId="1"/>
  </si>
  <si>
    <t>3歳児（満３歳児含む）</t>
    <rPh sb="1" eb="3">
      <t>サイジ</t>
    </rPh>
    <rPh sb="4" eb="5">
      <t>マン</t>
    </rPh>
    <rPh sb="6" eb="8">
      <t>サイジ</t>
    </rPh>
    <rPh sb="8" eb="9">
      <t>フク</t>
    </rPh>
    <phoneticPr fontId="1"/>
  </si>
  <si>
    <t>年齢別配置基準を下回る場合</t>
    <rPh sb="0" eb="3">
      <t>ネンレイベツ</t>
    </rPh>
    <rPh sb="3" eb="7">
      <t>ハイキ</t>
    </rPh>
    <rPh sb="8" eb="10">
      <t>シタマワ</t>
    </rPh>
    <rPh sb="11" eb="13">
      <t>バアイ</t>
    </rPh>
    <phoneticPr fontId="1"/>
  </si>
  <si>
    <t xml:space="preserve">  3歳児配置改善加算</t>
    <rPh sb="3" eb="5">
      <t>サイジ</t>
    </rPh>
    <rPh sb="5" eb="7">
      <t>ハイチ</t>
    </rPh>
    <rPh sb="7" eb="9">
      <t>カイゼン</t>
    </rPh>
    <rPh sb="9" eb="11">
      <t>カサン</t>
    </rPh>
    <phoneticPr fontId="1"/>
  </si>
  <si>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</si>
  <si>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1"/>
  </si>
  <si>
    <t>利用定員数に基づく職員数</t>
  </si>
  <si>
    <t>※</t>
    <phoneticPr fontId="1"/>
  </si>
  <si>
    <t>該当</t>
  </si>
  <si>
    <r>
      <t xml:space="preserve">０歳児
</t>
    </r>
    <r>
      <rPr>
        <sz val="10"/>
        <color theme="1"/>
        <rFont val="HG丸ｺﾞｼｯｸM-PRO"/>
        <family val="3"/>
        <charset val="128"/>
      </rPr>
      <t>※障害児保育加算ありの場合障害児を除いた数</t>
    </r>
    <rPh sb="1" eb="3">
      <t>サイジ</t>
    </rPh>
    <phoneticPr fontId="1"/>
  </si>
  <si>
    <t>3歳児</t>
    <rPh sb="1" eb="3">
      <t>サイジ</t>
    </rPh>
    <phoneticPr fontId="1"/>
  </si>
  <si>
    <t>i</t>
    <phoneticPr fontId="1"/>
  </si>
  <si>
    <t>分園の有無</t>
    <rPh sb="0" eb="2">
      <t>ブンエン</t>
    </rPh>
    <rPh sb="3" eb="5">
      <t>ウム</t>
    </rPh>
    <phoneticPr fontId="1"/>
  </si>
  <si>
    <t>選択項目</t>
    <rPh sb="0" eb="2">
      <t>センタク</t>
    </rPh>
    <rPh sb="2" eb="4">
      <t>コウモク</t>
    </rPh>
    <phoneticPr fontId="1"/>
  </si>
  <si>
    <t>本園分</t>
    <rPh sb="0" eb="1">
      <t>ホン</t>
    </rPh>
    <rPh sb="1" eb="2">
      <t>エン</t>
    </rPh>
    <rPh sb="2" eb="3">
      <t>ブン</t>
    </rPh>
    <phoneticPr fontId="1"/>
  </si>
  <si>
    <t>本園分を
記入</t>
    <rPh sb="0" eb="1">
      <t>ホン</t>
    </rPh>
    <rPh sb="1" eb="2">
      <t>エン</t>
    </rPh>
    <rPh sb="2" eb="3">
      <t>ブン</t>
    </rPh>
    <rPh sb="5" eb="7">
      <t>キニュウ</t>
    </rPh>
    <phoneticPr fontId="1"/>
  </si>
  <si>
    <r>
      <t xml:space="preserve">各月平均の年齢別児童数を使用する場合は、別途配布している「年齢別児童数計算表」により計算した児童数を入力すること。
</t>
    </r>
    <r>
      <rPr>
        <sz val="11"/>
        <color rgb="FFFF0000"/>
        <rFont val="HG丸ｺﾞｼｯｸM-PRO"/>
        <family val="3"/>
        <charset val="128"/>
      </rPr>
      <t>特例給付を受けて利用する児童がいる場合は、該当する年齢区分に含めること。</t>
    </r>
    <rPh sb="0" eb="2">
      <t>カクツキ</t>
    </rPh>
    <rPh sb="2" eb="4">
      <t>ヘイキン</t>
    </rPh>
    <rPh sb="5" eb="8">
      <t>ネンレイベツ</t>
    </rPh>
    <rPh sb="8" eb="11">
      <t>ジドウスウ</t>
    </rPh>
    <rPh sb="12" eb="14">
      <t>シヨウ</t>
    </rPh>
    <rPh sb="16" eb="18">
      <t>バアイ</t>
    </rPh>
    <rPh sb="20" eb="22">
      <t>ベット</t>
    </rPh>
    <rPh sb="22" eb="24">
      <t>ハイフ</t>
    </rPh>
    <rPh sb="29" eb="32">
      <t>ネンレイベツ</t>
    </rPh>
    <rPh sb="32" eb="35">
      <t>ジドウスウ</t>
    </rPh>
    <rPh sb="35" eb="37">
      <t>ケイサン</t>
    </rPh>
    <rPh sb="37" eb="38">
      <t>オモテ</t>
    </rPh>
    <rPh sb="42" eb="44">
      <t>ケイサン</t>
    </rPh>
    <rPh sb="46" eb="49">
      <t>ジドウスウ</t>
    </rPh>
    <rPh sb="50" eb="52">
      <t>ニュウリョク</t>
    </rPh>
    <phoneticPr fontId="1"/>
  </si>
  <si>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25"/>
  </si>
  <si>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25"/>
  </si>
  <si>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25"/>
  </si>
  <si>
    <r>
      <t xml:space="preserve"> 児童数</t>
    </r>
    <r>
      <rPr>
        <sz val="11"/>
        <color rgb="FFFF0000"/>
        <rFont val="HG丸ｺﾞｼｯｸM-PRO"/>
        <family val="3"/>
        <charset val="128"/>
      </rPr>
      <t>（特例給付対象児童含む）</t>
    </r>
    <rPh sb="1" eb="4">
      <t>ジドウスウ</t>
    </rPh>
    <phoneticPr fontId="1"/>
  </si>
  <si>
    <t>k</t>
    <phoneticPr fontId="1"/>
  </si>
  <si>
    <t>講師配置加算</t>
    <rPh sb="0" eb="2">
      <t>コウシ</t>
    </rPh>
    <rPh sb="2" eb="4">
      <t>ハイチ</t>
    </rPh>
    <rPh sb="4" eb="6">
      <t>カサン</t>
    </rPh>
    <phoneticPr fontId="1"/>
  </si>
  <si>
    <t>g</t>
    <phoneticPr fontId="1"/>
  </si>
  <si>
    <t>h</t>
    <phoneticPr fontId="1"/>
  </si>
  <si>
    <t>b</t>
    <phoneticPr fontId="1"/>
  </si>
  <si>
    <t>e</t>
    <phoneticPr fontId="1"/>
  </si>
  <si>
    <t>f</t>
    <phoneticPr fontId="1"/>
  </si>
  <si>
    <t>j</t>
  </si>
  <si>
    <t>栄養管理加算</t>
    <rPh sb="0" eb="2">
      <t>エイヨウ</t>
    </rPh>
    <rPh sb="2" eb="4">
      <t>カンリ</t>
    </rPh>
    <rPh sb="4" eb="6">
      <t>カサン</t>
    </rPh>
    <phoneticPr fontId="1"/>
  </si>
  <si>
    <t>o</t>
    <phoneticPr fontId="1"/>
  </si>
  <si>
    <t>p</t>
    <phoneticPr fontId="1"/>
  </si>
  <si>
    <t>q</t>
    <phoneticPr fontId="1"/>
  </si>
  <si>
    <t>n</t>
    <phoneticPr fontId="1"/>
  </si>
  <si>
    <t>ｄ</t>
    <phoneticPr fontId="1"/>
  </si>
  <si>
    <t>利用定員数に基づく職員数</t>
    <rPh sb="0" eb="2">
      <t>リヨウ</t>
    </rPh>
    <rPh sb="2" eb="5">
      <t>テイインスウ</t>
    </rPh>
    <rPh sb="6" eb="7">
      <t>モト</t>
    </rPh>
    <rPh sb="9" eb="12">
      <t>ショクインスウ</t>
    </rPh>
    <phoneticPr fontId="1"/>
  </si>
  <si>
    <t>休けい保育教諭</t>
    <rPh sb="0" eb="1">
      <t>キュウ</t>
    </rPh>
    <rPh sb="3" eb="5">
      <t>ホイク</t>
    </rPh>
    <rPh sb="5" eb="7">
      <t>キョウユ</t>
    </rPh>
    <phoneticPr fontId="1"/>
  </si>
  <si>
    <t>自園調理</t>
  </si>
  <si>
    <t>×加算Ⅲ算定対象人数</t>
    <rPh sb="1" eb="3">
      <t>カサン</t>
    </rPh>
    <rPh sb="4" eb="6">
      <t>サンテイ</t>
    </rPh>
    <rPh sb="6" eb="8">
      <t>タイショウ</t>
    </rPh>
    <rPh sb="8" eb="10">
      <t>ニンズウ</t>
    </rPh>
    <phoneticPr fontId="1"/>
  </si>
  <si>
    <t>j</t>
    <phoneticPr fontId="1"/>
  </si>
  <si>
    <t>g</t>
    <phoneticPr fontId="1"/>
  </si>
  <si>
    <t>療育支援加算</t>
    <rPh sb="0" eb="2">
      <t>リョウイク</t>
    </rPh>
    <rPh sb="2" eb="4">
      <t>シエン</t>
    </rPh>
    <rPh sb="4" eb="6">
      <t>カサン</t>
    </rPh>
    <phoneticPr fontId="1"/>
  </si>
  <si>
    <t>加算Ⅲ算定対象人数（1人未満端数　四捨五入）</t>
    <rPh sb="0" eb="2">
      <t>カサン</t>
    </rPh>
    <rPh sb="3" eb="5">
      <t>サンテイ</t>
    </rPh>
    <rPh sb="5" eb="7">
      <t>タイショウ</t>
    </rPh>
    <rPh sb="7" eb="9">
      <t>ニンズウ</t>
    </rPh>
    <rPh sb="11" eb="12">
      <t>ニン</t>
    </rPh>
    <rPh sb="12" eb="14">
      <t>ミマン</t>
    </rPh>
    <rPh sb="14" eb="16">
      <t>ハスウ</t>
    </rPh>
    <rPh sb="17" eb="21">
      <t>シシャゴニュウ</t>
    </rPh>
    <phoneticPr fontId="1"/>
  </si>
  <si>
    <t>処遇改善等加算Ⅲ　加算Ⅲ算定対象人数計算表（幼稚園）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5">
      <t>ヨウチエン</t>
    </rPh>
    <phoneticPr fontId="1"/>
  </si>
  <si>
    <t>（参考）加算見込額（円）</t>
    <phoneticPr fontId="1"/>
  </si>
  <si>
    <t>円　×　加算Ⅲ算定対象人数</t>
    <rPh sb="0" eb="1">
      <t>エン</t>
    </rPh>
    <rPh sb="4" eb="6">
      <t>カサン</t>
    </rPh>
    <rPh sb="7" eb="9">
      <t>サンテイ</t>
    </rPh>
    <rPh sb="9" eb="11">
      <t>タイショウ</t>
    </rPh>
    <rPh sb="11" eb="13">
      <t>ニンズウ</t>
    </rPh>
    <phoneticPr fontId="1"/>
  </si>
  <si>
    <t>１．加算Ⅲの加算算定対象人数（人）</t>
    <rPh sb="2" eb="4">
      <t>カサン</t>
    </rPh>
    <rPh sb="6" eb="8">
      <t>カサン</t>
    </rPh>
    <rPh sb="8" eb="10">
      <t>サンテイ</t>
    </rPh>
    <rPh sb="10" eb="12">
      <t>タイショウ</t>
    </rPh>
    <rPh sb="12" eb="14">
      <t>ニンズウ</t>
    </rPh>
    <rPh sb="15" eb="16">
      <t>ニン</t>
    </rPh>
    <phoneticPr fontId="1"/>
  </si>
  <si>
    <t>（家庭的保育事業）</t>
    <rPh sb="1" eb="4">
      <t>カテイテキ</t>
    </rPh>
    <rPh sb="4" eb="6">
      <t>ホイク</t>
    </rPh>
    <rPh sb="6" eb="8">
      <t>ジギョウ</t>
    </rPh>
    <phoneticPr fontId="1"/>
  </si>
  <si>
    <t>a</t>
    <phoneticPr fontId="1"/>
  </si>
  <si>
    <t>障害児保育加算</t>
    <rPh sb="0" eb="2">
      <t>ショウガイ</t>
    </rPh>
    <rPh sb="2" eb="3">
      <t>ジ</t>
    </rPh>
    <rPh sb="3" eb="5">
      <t>ホイク</t>
    </rPh>
    <rPh sb="5" eb="7">
      <t>カサン</t>
    </rPh>
    <phoneticPr fontId="1"/>
  </si>
  <si>
    <t>夜間保育加算</t>
    <rPh sb="0" eb="2">
      <t>ヤカン</t>
    </rPh>
    <rPh sb="2" eb="4">
      <t>ホイク</t>
    </rPh>
    <rPh sb="4" eb="6">
      <t>カサン</t>
    </rPh>
    <phoneticPr fontId="1"/>
  </si>
  <si>
    <t>管理者を配置していない場合</t>
    <rPh sb="0" eb="3">
      <t>カンリシャ</t>
    </rPh>
    <rPh sb="4" eb="6">
      <t>ハイチ</t>
    </rPh>
    <rPh sb="11" eb="13">
      <t>バアイ</t>
    </rPh>
    <phoneticPr fontId="1"/>
  </si>
  <si>
    <t>e</t>
    <phoneticPr fontId="1"/>
  </si>
  <si>
    <t>（居宅訪問型保育事業）</t>
    <rPh sb="1" eb="3">
      <t>キョタク</t>
    </rPh>
    <rPh sb="3" eb="5">
      <t>ホウモン</t>
    </rPh>
    <rPh sb="5" eb="6">
      <t>ガタ</t>
    </rPh>
    <rPh sb="6" eb="8">
      <t>ホイク</t>
    </rPh>
    <rPh sb="8" eb="10">
      <t>ジギョウ</t>
    </rPh>
    <phoneticPr fontId="1"/>
  </si>
  <si>
    <t>特定の日に保育を行わない場合</t>
    <rPh sb="0" eb="2">
      <t>トクテイ</t>
    </rPh>
    <rPh sb="3" eb="4">
      <t>ヒ</t>
    </rPh>
    <rPh sb="5" eb="7">
      <t>ホイク</t>
    </rPh>
    <rPh sb="8" eb="9">
      <t>オコナ</t>
    </rPh>
    <rPh sb="12" eb="14">
      <t>バアイ</t>
    </rPh>
    <phoneticPr fontId="1"/>
  </si>
  <si>
    <t>～210人</t>
    <rPh sb="4" eb="5">
      <t>ニン</t>
    </rPh>
    <phoneticPr fontId="1"/>
  </si>
  <si>
    <t>211人～279人</t>
    <rPh sb="3" eb="4">
      <t>ニン</t>
    </rPh>
    <rPh sb="8" eb="9">
      <t>ニン</t>
    </rPh>
    <phoneticPr fontId="1"/>
  </si>
  <si>
    <t>280人～349人</t>
    <rPh sb="3" eb="4">
      <t>ニン</t>
    </rPh>
    <rPh sb="8" eb="9">
      <t>ニン</t>
    </rPh>
    <phoneticPr fontId="1"/>
  </si>
  <si>
    <t>350人～419人</t>
    <rPh sb="3" eb="4">
      <t>ニン</t>
    </rPh>
    <rPh sb="8" eb="9">
      <t>ニン</t>
    </rPh>
    <phoneticPr fontId="1"/>
  </si>
  <si>
    <t>420人～489人</t>
    <rPh sb="3" eb="4">
      <t>ニン</t>
    </rPh>
    <rPh sb="8" eb="9">
      <t>ニン</t>
    </rPh>
    <phoneticPr fontId="1"/>
  </si>
  <si>
    <t>490人～559人</t>
    <rPh sb="3" eb="4">
      <t>ニン</t>
    </rPh>
    <rPh sb="8" eb="9">
      <t>ニン</t>
    </rPh>
    <phoneticPr fontId="1"/>
  </si>
  <si>
    <t>560人～629人</t>
    <rPh sb="3" eb="4">
      <t>ニン</t>
    </rPh>
    <rPh sb="8" eb="9">
      <t>ニン</t>
    </rPh>
    <phoneticPr fontId="1"/>
  </si>
  <si>
    <t>630人～699人</t>
    <rPh sb="3" eb="4">
      <t>ニン</t>
    </rPh>
    <rPh sb="8" eb="9">
      <t>ニン</t>
    </rPh>
    <phoneticPr fontId="1"/>
  </si>
  <si>
    <t>700人～769人</t>
    <rPh sb="3" eb="4">
      <t>ニン</t>
    </rPh>
    <rPh sb="8" eb="9">
      <t>ニン</t>
    </rPh>
    <phoneticPr fontId="1"/>
  </si>
  <si>
    <t>770人～839人</t>
    <rPh sb="3" eb="4">
      <t>ニン</t>
    </rPh>
    <rPh sb="8" eb="9">
      <t>ニン</t>
    </rPh>
    <phoneticPr fontId="1"/>
  </si>
  <si>
    <t>840人～909人</t>
    <rPh sb="3" eb="4">
      <t>ニン</t>
    </rPh>
    <rPh sb="8" eb="9">
      <t>ニン</t>
    </rPh>
    <phoneticPr fontId="1"/>
  </si>
  <si>
    <t>910人～979人</t>
    <rPh sb="3" eb="4">
      <t>ニン</t>
    </rPh>
    <rPh sb="8" eb="9">
      <t>ニン</t>
    </rPh>
    <phoneticPr fontId="1"/>
  </si>
  <si>
    <t>980人～1,049人</t>
    <rPh sb="3" eb="4">
      <t>ニン</t>
    </rPh>
    <rPh sb="10" eb="11">
      <t>ニン</t>
    </rPh>
    <phoneticPr fontId="1"/>
  </si>
  <si>
    <t>1,050人～</t>
    <rPh sb="5" eb="6">
      <t>ニン</t>
    </rPh>
    <phoneticPr fontId="1"/>
  </si>
  <si>
    <t>A</t>
  </si>
  <si>
    <t>分園の場合</t>
    <rPh sb="0" eb="1">
      <t>ブン</t>
    </rPh>
    <rPh sb="1" eb="2">
      <t>エン</t>
    </rPh>
    <rPh sb="3" eb="5">
      <t>バアイ</t>
    </rPh>
    <phoneticPr fontId="1"/>
  </si>
  <si>
    <t>施設長を配置していない場合</t>
    <rPh sb="0" eb="3">
      <t>シセツチョウ</t>
    </rPh>
    <rPh sb="4" eb="6">
      <t>ハイチ</t>
    </rPh>
    <rPh sb="11" eb="13">
      <t>バアイ</t>
    </rPh>
    <phoneticPr fontId="1"/>
  </si>
  <si>
    <t>夜間保育加算</t>
    <rPh sb="0" eb="4">
      <t>ヤカンホイク</t>
    </rPh>
    <rPh sb="4" eb="6">
      <t>カサン</t>
    </rPh>
    <phoneticPr fontId="1"/>
  </si>
  <si>
    <t>１号認定こどもの利用定員を設定しない場合</t>
    <rPh sb="1" eb="2">
      <t>ゴウ</t>
    </rPh>
    <rPh sb="2" eb="4">
      <t>ニンテイ</t>
    </rPh>
    <rPh sb="8" eb="12">
      <t>リヨウテイイン</t>
    </rPh>
    <rPh sb="13" eb="15">
      <t>セッテイ</t>
    </rPh>
    <rPh sb="18" eb="20">
      <t>バアイ</t>
    </rPh>
    <phoneticPr fontId="1"/>
  </si>
  <si>
    <t>休日保育加算を受けている場合</t>
    <rPh sb="0" eb="2">
      <t>キュウジツ</t>
    </rPh>
    <rPh sb="2" eb="4">
      <t>ホイク</t>
    </rPh>
    <rPh sb="4" eb="6">
      <t>カサン</t>
    </rPh>
    <rPh sb="7" eb="8">
      <t>ウ</t>
    </rPh>
    <rPh sb="12" eb="14">
      <t>バアイ</t>
    </rPh>
    <phoneticPr fontId="1"/>
  </si>
  <si>
    <t>処遇改善等加算Ⅲ　加算Ⅲ算定対象人数計算表（保育所）</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5">
      <t>ホイクショ</t>
    </rPh>
    <phoneticPr fontId="1"/>
  </si>
  <si>
    <t>処遇改善等加算Ⅲ　加算Ⅲ算定対象人数計算表（認定こども園）</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rPh sb="22" eb="24">
      <t>ニン</t>
    </rPh>
    <phoneticPr fontId="1"/>
  </si>
  <si>
    <t>処遇改善等加算Ⅲ　加算Ⅲ算定対象人数計算表</t>
    <rPh sb="0" eb="2">
      <t>ショグウ</t>
    </rPh>
    <rPh sb="2" eb="4">
      <t>カイゼン</t>
    </rPh>
    <rPh sb="4" eb="5">
      <t>トウ</t>
    </rPh>
    <rPh sb="5" eb="7">
      <t>カサン</t>
    </rPh>
    <rPh sb="9" eb="11">
      <t>カサン</t>
    </rPh>
    <rPh sb="12" eb="14">
      <t>サンテイ</t>
    </rPh>
    <rPh sb="14" eb="16">
      <t>タイショウ</t>
    </rPh>
    <rPh sb="16" eb="18">
      <t>ニンズウ</t>
    </rPh>
    <rPh sb="18" eb="20">
      <t>ケイサン</t>
    </rPh>
    <rPh sb="20" eb="21">
      <t>オモテ</t>
    </rPh>
    <phoneticPr fontId="1"/>
  </si>
  <si>
    <t>給食実施加算</t>
    <rPh sb="0" eb="2">
      <t>キュウショク</t>
    </rPh>
    <rPh sb="2" eb="4">
      <t>ジッシ</t>
    </rPh>
    <rPh sb="4" eb="6">
      <t>カサン</t>
    </rPh>
    <phoneticPr fontId="1"/>
  </si>
  <si>
    <t>l</t>
    <phoneticPr fontId="1"/>
  </si>
  <si>
    <t>m</t>
    <phoneticPr fontId="1"/>
  </si>
  <si>
    <t>r</t>
    <phoneticPr fontId="1"/>
  </si>
  <si>
    <t>s</t>
    <phoneticPr fontId="1"/>
  </si>
  <si>
    <t>t</t>
    <phoneticPr fontId="1"/>
  </si>
  <si>
    <t>c</t>
    <phoneticPr fontId="1"/>
  </si>
  <si>
    <t>家庭的保育補助者加算</t>
    <rPh sb="0" eb="3">
      <t>カテイテキ</t>
    </rPh>
    <rPh sb="3" eb="5">
      <t>ホイク</t>
    </rPh>
    <rPh sb="5" eb="8">
      <t>ホジョシャ</t>
    </rPh>
    <rPh sb="8" eb="10">
      <t>カサン</t>
    </rPh>
    <phoneticPr fontId="1"/>
  </si>
  <si>
    <t>４人以上</t>
  </si>
  <si>
    <t>小計（小数点第一位四捨五入）</t>
    <rPh sb="0" eb="2">
      <t>ショウケイ</t>
    </rPh>
    <phoneticPr fontId="1"/>
  </si>
  <si>
    <t>　４歳児以上児</t>
    <rPh sb="2" eb="4">
      <t>サイジ</t>
    </rPh>
    <rPh sb="4" eb="6">
      <t>イジョウ</t>
    </rPh>
    <rPh sb="6" eb="7">
      <t>ジ</t>
    </rPh>
    <phoneticPr fontId="1"/>
  </si>
  <si>
    <t>　３歳児</t>
    <rPh sb="2" eb="3">
      <t>サイ</t>
    </rPh>
    <rPh sb="3" eb="4">
      <t>ジ</t>
    </rPh>
    <phoneticPr fontId="1"/>
  </si>
  <si>
    <t>　　うち満３歳児</t>
    <rPh sb="4" eb="5">
      <t>マン</t>
    </rPh>
    <rPh sb="6" eb="8">
      <t>サイジ</t>
    </rPh>
    <phoneticPr fontId="1"/>
  </si>
  <si>
    <t>　１，２歳児</t>
    <rPh sb="4" eb="6">
      <t>サイジ</t>
    </rPh>
    <phoneticPr fontId="1"/>
  </si>
  <si>
    <t>　０歳児</t>
    <rPh sb="2" eb="4">
      <t>サイジ</t>
    </rPh>
    <phoneticPr fontId="1"/>
  </si>
  <si>
    <t>利用定員数に基づく職員数（１号）</t>
    <rPh sb="0" eb="2">
      <t>リヨウ</t>
    </rPh>
    <rPh sb="2" eb="4">
      <t>テイイン</t>
    </rPh>
    <rPh sb="4" eb="5">
      <t>スウ</t>
    </rPh>
    <rPh sb="6" eb="7">
      <t>モト</t>
    </rPh>
    <rPh sb="9" eb="11">
      <t>ショクイン</t>
    </rPh>
    <rPh sb="11" eb="12">
      <t>スウ</t>
    </rPh>
    <rPh sb="14" eb="15">
      <t>ゴウ</t>
    </rPh>
    <phoneticPr fontId="1"/>
  </si>
  <si>
    <t>利用定員数に基づく職員数（２・３号）</t>
    <rPh sb="0" eb="2">
      <t>リヨウ</t>
    </rPh>
    <rPh sb="2" eb="4">
      <t>テイイン</t>
    </rPh>
    <rPh sb="4" eb="5">
      <t>スウ</t>
    </rPh>
    <rPh sb="6" eb="7">
      <t>モト</t>
    </rPh>
    <rPh sb="9" eb="12">
      <t>ショクインスウ</t>
    </rPh>
    <rPh sb="16" eb="17">
      <t>ゴウ</t>
    </rPh>
    <phoneticPr fontId="1"/>
  </si>
  <si>
    <t>１号及び２・３号</t>
  </si>
  <si>
    <t>本園と合算</t>
    <rPh sb="0" eb="2">
      <t>ホンエン</t>
    </rPh>
    <rPh sb="3" eb="5">
      <t>ガッサン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</si>
</sst>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00_);[Red]\(0.00\)"/>
    <numFmt numFmtId="179" formatCode="0.000_);[Red]\(0.000\)"/>
    <numFmt numFmtId="180" formatCode="0.0_ ;[Red]\-0.0\ "/>
    <numFmt numFmtId="181" formatCode="#,##0_);[Red]\(#,##0\)"/>
  </numFmts>
  <fonts count="30">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4"/>
      <color theme="1"/>
      <name val="游ゴシック"/>
      <family val="2"/>
      <charset val="128"/>
      <scheme val="minor"/>
    </font>
    <font>
      <sz val="14"/>
      <color theme="1"/>
      <name val="HG丸ｺﾞｼｯｸM-PRO"/>
      <family val="3"/>
      <charset val="128"/>
    </font>
    <font>
      <sz val="11"/>
      <color theme="1"/>
      <name val="HG丸ｺﾞｼｯｸM-PRO"/>
      <family val="3"/>
      <charset val="128"/>
    </font>
    <font>
      <sz val="9"/>
      <color theme="1"/>
      <name val="HG丸ｺﾞｼｯｸM-PRO"/>
      <family val="3"/>
      <charset val="128"/>
    </font>
    <font>
      <sz val="11"/>
      <name val="HG丸ｺﾞｼｯｸM-PRO"/>
      <family val="3"/>
      <charset val="128"/>
    </font>
    <font>
      <sz val="10"/>
      <color theme="1"/>
      <name val="HG丸ｺﾞｼｯｸM-PRO"/>
      <family val="3"/>
      <charset val="128"/>
    </font>
    <font>
      <sz val="11"/>
      <color theme="2" tint="-0.249977111117893"/>
      <name val="HG丸ｺﾞｼｯｸM-PRO"/>
      <family val="3"/>
      <charset val="128"/>
    </font>
    <font>
      <sz val="12"/>
      <color theme="1"/>
      <name val="HG丸ｺﾞｼｯｸM-PRO"/>
      <family val="3"/>
      <charset val="128"/>
    </font>
    <font>
      <sz val="16"/>
      <color theme="1"/>
      <name val="HG丸ｺﾞｼｯｸM-PRO"/>
      <family val="3"/>
      <charset val="128"/>
    </font>
    <font>
      <sz val="10"/>
      <name val="HG丸ｺﾞｼｯｸM-PRO"/>
      <family val="3"/>
      <charset val="128"/>
    </font>
    <font>
      <b/>
      <sz val="12"/>
      <color theme="1"/>
      <name val="HG丸ｺﾞｼｯｸM-PRO"/>
      <family val="3"/>
      <charset val="128"/>
    </font>
    <font>
      <b/>
      <sz val="12"/>
      <name val="HG丸ｺﾞｼｯｸM-PRO"/>
      <family val="3"/>
      <charset val="128"/>
    </font>
    <font>
      <sz val="12"/>
      <color theme="2" tint="-0.249977111117893"/>
      <name val="HG丸ｺﾞｼｯｸM-PRO"/>
      <family val="3"/>
      <charset val="128"/>
    </font>
    <font>
      <sz val="12"/>
      <color indexed="81"/>
      <name val="MS P ゴシック"/>
      <family val="3"/>
      <charset val="128"/>
    </font>
    <font>
      <b/>
      <sz val="11"/>
      <name val="HG丸ｺﾞｼｯｸM-PRO"/>
      <family val="3"/>
      <charset val="128"/>
    </font>
    <font>
      <sz val="11"/>
      <color theme="0" tint="-0.249977111117893"/>
      <name val="HG丸ｺﾞｼｯｸM-PRO"/>
      <family val="3"/>
      <charset val="128"/>
    </font>
    <font>
      <sz val="11"/>
      <color theme="1"/>
      <name val="游ゴシック"/>
      <family val="2"/>
      <charset val="128"/>
      <scheme val="minor"/>
    </font>
    <font>
      <sz val="11"/>
      <color theme="2" tint="-0.499984740745262"/>
      <name val="HG丸ｺﾞｼｯｸM-PRO"/>
      <family val="3"/>
      <charset val="128"/>
    </font>
    <font>
      <sz val="10"/>
      <color indexed="81"/>
      <name val="ＭＳ Ｐゴシック"/>
      <family val="3"/>
      <charset val="128"/>
    </font>
    <font>
      <b/>
      <sz val="11"/>
      <color theme="1"/>
      <name val="HG丸ｺﾞｼｯｸM-PRO"/>
      <family val="3"/>
      <charset val="128"/>
    </font>
    <font>
      <sz val="12"/>
      <color indexed="81"/>
      <name val="ＭＳ Ｐゴシック"/>
      <family val="3"/>
      <charset val="128"/>
    </font>
    <font>
      <sz val="11"/>
      <color rgb="FFFF0000"/>
      <name val="HG丸ｺﾞｼｯｸM-PRO"/>
      <family val="3"/>
      <charset val="128"/>
    </font>
    <font>
      <sz val="6"/>
      <name val="游ゴシック"/>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11"/>
      <color indexed="81"/>
      <name val="MS P ゴシック"/>
      <family val="3"/>
      <charset val="128"/>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FFC000"/>
        <bgColor indexed="64"/>
      </patternFill>
    </fill>
    <fill>
      <patternFill patternType="solid">
        <fgColor rgb="FFA0FF21"/>
        <bgColor indexed="64"/>
      </patternFill>
    </fill>
    <fill>
      <patternFill patternType="solid">
        <fgColor theme="0" tint="-4.9989318521683403E-2"/>
        <bgColor indexed="64"/>
      </patternFill>
    </fill>
  </fills>
  <borders count="14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diagonalUp="1">
      <left style="thin">
        <color indexed="64"/>
      </left>
      <right/>
      <top/>
      <bottom style="double">
        <color indexed="64"/>
      </bottom>
      <diagonal style="thin">
        <color indexed="64"/>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double">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bottom style="hair">
        <color indexed="64"/>
      </bottom>
      <diagonal style="thin">
        <color indexed="64"/>
      </diagonal>
    </border>
    <border diagonalUp="1">
      <left style="thin">
        <color indexed="64"/>
      </left>
      <right/>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double">
        <color indexed="64"/>
      </bottom>
      <diagonal/>
    </border>
    <border>
      <left/>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right style="medium">
        <color indexed="64"/>
      </right>
      <top style="medium">
        <color indexed="64"/>
      </top>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diagonal/>
    </border>
    <border>
      <left/>
      <right/>
      <top/>
      <bottom style="hair">
        <color indexed="64"/>
      </bottom>
      <diagonal/>
    </border>
    <border>
      <left/>
      <right/>
      <top style="hair">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medium">
        <color indexed="64"/>
      </right>
      <top style="hair">
        <color indexed="64"/>
      </top>
      <bottom style="double">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hair">
        <color indexed="64"/>
      </left>
      <right/>
      <top style="double">
        <color indexed="64"/>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96">
    <xf numFmtId="0" fontId="0" fillId="0" borderId="0" xfId="0">
      <alignment vertical="center"/>
    </xf>
    <xf numFmtId="176" fontId="5" fillId="5" borderId="1" xfId="0" applyNumberFormat="1" applyFont="1" applyFill="1" applyBorder="1" applyAlignment="1" applyProtection="1">
      <alignment horizontal="right" vertical="center"/>
      <protection locked="0"/>
    </xf>
    <xf numFmtId="176" fontId="5" fillId="5" borderId="91" xfId="0" applyNumberFormat="1" applyFont="1" applyFill="1" applyBorder="1" applyAlignment="1" applyProtection="1">
      <alignment horizontal="right" vertical="center"/>
      <protection locked="0"/>
    </xf>
    <xf numFmtId="0" fontId="5" fillId="4" borderId="44"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11" fillId="0" borderId="0" xfId="0" applyFont="1" applyProtection="1">
      <alignment vertical="center"/>
      <protection locked="0"/>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176" fontId="5" fillId="0" borderId="0" xfId="0" applyNumberFormat="1" applyFont="1" applyProtection="1">
      <alignment vertical="center"/>
      <protection locked="0"/>
    </xf>
    <xf numFmtId="0" fontId="0" fillId="0" borderId="0" xfId="0" applyProtection="1">
      <alignment vertical="center"/>
      <protection locked="0"/>
    </xf>
    <xf numFmtId="0" fontId="5" fillId="0" borderId="0" xfId="0" applyFont="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13" fillId="0" borderId="0" xfId="0" applyFont="1" applyProtection="1">
      <alignment vertical="center"/>
      <protection locked="0"/>
    </xf>
    <xf numFmtId="0" fontId="13" fillId="0" borderId="0" xfId="0" applyFont="1" applyBorder="1" applyProtection="1">
      <alignment vertical="center"/>
      <protection locked="0"/>
    </xf>
    <xf numFmtId="0" fontId="5" fillId="0" borderId="2"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protection locked="0"/>
    </xf>
    <xf numFmtId="176" fontId="5" fillId="0" borderId="0" xfId="0" applyNumberFormat="1" applyFont="1" applyFill="1" applyBorder="1" applyAlignment="1" applyProtection="1">
      <alignment horizontal="right" vertical="center"/>
      <protection locked="0"/>
    </xf>
    <xf numFmtId="0" fontId="5" fillId="0" borderId="5" xfId="0" applyFont="1" applyBorder="1" applyProtection="1">
      <alignment vertical="center"/>
      <protection locked="0"/>
    </xf>
    <xf numFmtId="0" fontId="5" fillId="0" borderId="4" xfId="0" applyFont="1" applyBorder="1" applyAlignment="1" applyProtection="1">
      <alignment horizontal="center" vertical="center" wrapText="1"/>
      <protection locked="0"/>
    </xf>
    <xf numFmtId="176" fontId="5" fillId="0" borderId="19" xfId="0" applyNumberFormat="1" applyFont="1" applyBorder="1" applyAlignment="1" applyProtection="1">
      <alignment horizontal="center" vertical="center" wrapText="1"/>
      <protection locked="0"/>
    </xf>
    <xf numFmtId="0" fontId="0" fillId="0" borderId="0" xfId="0" applyBorder="1" applyProtection="1">
      <alignment vertical="center"/>
      <protection locked="0"/>
    </xf>
    <xf numFmtId="0" fontId="5" fillId="0" borderId="8" xfId="0" applyFont="1" applyBorder="1" applyAlignment="1" applyProtection="1">
      <alignment horizontal="right" vertical="center"/>
      <protection locked="0"/>
    </xf>
    <xf numFmtId="0" fontId="5" fillId="0" borderId="6" xfId="0" applyFont="1" applyBorder="1" applyProtection="1">
      <alignment vertical="center"/>
      <protection locked="0"/>
    </xf>
    <xf numFmtId="176" fontId="5" fillId="0" borderId="20" xfId="0" applyNumberFormat="1" applyFont="1" applyBorder="1" applyProtection="1">
      <alignment vertical="center"/>
      <protection locked="0"/>
    </xf>
    <xf numFmtId="0" fontId="5" fillId="0" borderId="23" xfId="0" applyFont="1" applyBorder="1" applyAlignment="1" applyProtection="1">
      <alignment horizontal="right" vertical="center"/>
      <protection locked="0"/>
    </xf>
    <xf numFmtId="0" fontId="5" fillId="0" borderId="33" xfId="0" applyFont="1" applyBorder="1" applyProtection="1">
      <alignment vertical="center"/>
      <protection locked="0"/>
    </xf>
    <xf numFmtId="0" fontId="6" fillId="0" borderId="0" xfId="0" applyFont="1" applyBorder="1" applyAlignment="1" applyProtection="1">
      <alignment horizontal="left" vertical="center"/>
      <protection locked="0"/>
    </xf>
    <xf numFmtId="0" fontId="5" fillId="0" borderId="14" xfId="0" applyFont="1" applyBorder="1" applyAlignment="1" applyProtection="1">
      <alignment horizontal="right" vertical="center"/>
      <protection locked="0"/>
    </xf>
    <xf numFmtId="0" fontId="5" fillId="0" borderId="7" xfId="0" applyFont="1" applyFill="1" applyBorder="1" applyProtection="1">
      <alignment vertical="center"/>
      <protection locked="0"/>
    </xf>
    <xf numFmtId="176" fontId="5" fillId="0" borderId="21" xfId="0" applyNumberFormat="1" applyFont="1" applyFill="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176" fontId="6" fillId="0" borderId="19" xfId="0" applyNumberFormat="1" applyFont="1" applyBorder="1" applyAlignment="1" applyProtection="1">
      <alignment vertical="center"/>
      <protection locked="0"/>
    </xf>
    <xf numFmtId="0" fontId="5" fillId="0" borderId="5" xfId="0" applyFont="1" applyBorder="1" applyAlignment="1" applyProtection="1">
      <alignment horizontal="center" vertical="center"/>
      <protection locked="0"/>
    </xf>
    <xf numFmtId="0" fontId="5" fillId="0" borderId="87" xfId="0" applyFont="1" applyBorder="1" applyProtection="1">
      <alignment vertical="center"/>
      <protection locked="0"/>
    </xf>
    <xf numFmtId="0" fontId="5" fillId="0" borderId="88" xfId="0" applyFont="1" applyBorder="1" applyProtection="1">
      <alignment vertical="center"/>
      <protection locked="0"/>
    </xf>
    <xf numFmtId="0" fontId="5" fillId="0" borderId="90" xfId="0" applyFont="1" applyBorder="1" applyProtection="1">
      <alignment vertical="center"/>
      <protection locked="0"/>
    </xf>
    <xf numFmtId="176" fontId="5" fillId="0" borderId="81" xfId="0" applyNumberFormat="1" applyFont="1" applyFill="1" applyBorder="1" applyAlignment="1" applyProtection="1">
      <alignment horizontal="right" vertical="center"/>
      <protection locked="0"/>
    </xf>
    <xf numFmtId="0" fontId="7" fillId="0" borderId="14" xfId="0" applyFont="1" applyFill="1" applyBorder="1" applyAlignment="1" applyProtection="1">
      <alignment vertical="center"/>
      <protection locked="0"/>
    </xf>
    <xf numFmtId="0" fontId="5" fillId="0" borderId="0" xfId="0" applyFont="1" applyBorder="1" applyProtection="1">
      <alignment vertical="center"/>
      <protection locked="0"/>
    </xf>
    <xf numFmtId="176" fontId="5" fillId="0" borderId="15" xfId="0" applyNumberFormat="1" applyFont="1" applyBorder="1" applyProtection="1">
      <alignment vertical="center"/>
      <protection locked="0"/>
    </xf>
    <xf numFmtId="0" fontId="14" fillId="0" borderId="10" xfId="0" applyFont="1" applyFill="1" applyBorder="1" applyAlignment="1" applyProtection="1">
      <alignment vertical="center"/>
      <protection locked="0"/>
    </xf>
    <xf numFmtId="0" fontId="10" fillId="0" borderId="13" xfId="0" applyFont="1" applyBorder="1" applyProtection="1">
      <alignment vertical="center"/>
      <protection locked="0"/>
    </xf>
    <xf numFmtId="176" fontId="10" fillId="0" borderId="9" xfId="0" applyNumberFormat="1" applyFont="1" applyBorder="1" applyProtection="1">
      <alignment vertical="center"/>
      <protection locked="0"/>
    </xf>
    <xf numFmtId="0" fontId="7" fillId="0" borderId="0" xfId="0" applyFont="1" applyFill="1" applyBorder="1" applyAlignment="1" applyProtection="1">
      <alignment vertical="center"/>
      <protection locked="0"/>
    </xf>
    <xf numFmtId="176" fontId="5" fillId="0" borderId="0" xfId="0" applyNumberFormat="1" applyFont="1" applyBorder="1" applyProtection="1">
      <alignment vertical="center"/>
      <protection locked="0"/>
    </xf>
    <xf numFmtId="176" fontId="9" fillId="0" borderId="0" xfId="0" applyNumberFormat="1" applyFont="1" applyBorder="1" applyProtection="1">
      <alignment vertical="center"/>
      <protection locked="0"/>
    </xf>
    <xf numFmtId="177" fontId="5" fillId="0" borderId="0" xfId="0" applyNumberFormat="1" applyFont="1" applyFill="1" applyBorder="1" applyProtection="1">
      <alignment vertical="center"/>
      <protection locked="0"/>
    </xf>
    <xf numFmtId="0" fontId="13" fillId="0" borderId="13" xfId="0" applyFont="1" applyBorder="1" applyProtection="1">
      <alignment vertical="center"/>
      <protection locked="0"/>
    </xf>
    <xf numFmtId="0" fontId="13" fillId="0" borderId="10" xfId="0" applyFont="1" applyBorder="1" applyProtection="1">
      <alignment vertical="center"/>
      <protection locked="0"/>
    </xf>
    <xf numFmtId="177" fontId="5" fillId="0" borderId="0" xfId="0" applyNumberFormat="1" applyFont="1" applyBorder="1" applyProtection="1">
      <alignment vertical="center"/>
      <protection locked="0"/>
    </xf>
    <xf numFmtId="38" fontId="13" fillId="0" borderId="13" xfId="1" applyFont="1" applyBorder="1" applyProtection="1">
      <alignment vertical="center"/>
      <protection locked="0"/>
    </xf>
    <xf numFmtId="176" fontId="22" fillId="0" borderId="13" xfId="0" applyNumberFormat="1" applyFont="1" applyBorder="1" applyProtection="1">
      <alignment vertical="center"/>
      <protection locked="0"/>
    </xf>
    <xf numFmtId="176" fontId="5" fillId="0" borderId="27" xfId="0" applyNumberFormat="1" applyFont="1" applyBorder="1" applyProtection="1">
      <alignment vertical="center"/>
    </xf>
    <xf numFmtId="178" fontId="9" fillId="2" borderId="36" xfId="0" applyNumberFormat="1" applyFont="1" applyFill="1" applyBorder="1" applyProtection="1">
      <alignment vertical="center"/>
    </xf>
    <xf numFmtId="178" fontId="9" fillId="2" borderId="45" xfId="0" applyNumberFormat="1" applyFont="1" applyFill="1" applyBorder="1" applyProtection="1">
      <alignment vertical="center"/>
    </xf>
    <xf numFmtId="179" fontId="9" fillId="0" borderId="28" xfId="0" applyNumberFormat="1" applyFont="1" applyFill="1" applyBorder="1" applyProtection="1">
      <alignment vertical="center"/>
    </xf>
    <xf numFmtId="176" fontId="9" fillId="0" borderId="26" xfId="0" applyNumberFormat="1" applyFont="1" applyBorder="1" applyProtection="1">
      <alignment vertical="center"/>
    </xf>
    <xf numFmtId="177" fontId="5" fillId="3" borderId="19" xfId="0" applyNumberFormat="1" applyFont="1" applyFill="1" applyBorder="1" applyProtection="1">
      <alignment vertical="center"/>
    </xf>
    <xf numFmtId="180" fontId="5" fillId="3" borderId="19" xfId="0" applyNumberFormat="1" applyFont="1" applyFill="1" applyBorder="1" applyProtection="1">
      <alignment vertical="center"/>
    </xf>
    <xf numFmtId="176" fontId="5" fillId="0" borderId="89" xfId="0" applyNumberFormat="1" applyFont="1" applyFill="1" applyBorder="1" applyProtection="1">
      <alignment vertical="center"/>
    </xf>
    <xf numFmtId="177" fontId="5" fillId="3" borderId="81" xfId="0" applyNumberFormat="1" applyFont="1" applyFill="1" applyBorder="1" applyProtection="1">
      <alignment vertical="center"/>
    </xf>
    <xf numFmtId="176" fontId="9" fillId="0" borderId="18" xfId="0" applyNumberFormat="1" applyFont="1" applyBorder="1" applyProtection="1">
      <alignment vertical="center"/>
    </xf>
    <xf numFmtId="177" fontId="7" fillId="3" borderId="15" xfId="0" applyNumberFormat="1" applyFont="1" applyFill="1" applyBorder="1" applyProtection="1">
      <alignment vertical="center"/>
    </xf>
    <xf numFmtId="176" fontId="15" fillId="0" borderId="10" xfId="0" applyNumberFormat="1" applyFont="1" applyBorder="1" applyProtection="1">
      <alignment vertical="center"/>
    </xf>
    <xf numFmtId="177" fontId="13" fillId="3" borderId="9" xfId="0" applyNumberFormat="1" applyFont="1" applyFill="1" applyBorder="1" applyProtection="1">
      <alignment vertical="center"/>
    </xf>
    <xf numFmtId="176" fontId="5" fillId="0" borderId="0" xfId="0" applyNumberFormat="1" applyFont="1" applyBorder="1" applyProtection="1">
      <alignment vertical="center"/>
    </xf>
    <xf numFmtId="177" fontId="5" fillId="0" borderId="0" xfId="0" applyNumberFormat="1" applyFont="1" applyBorder="1" applyProtection="1">
      <alignment vertical="center"/>
    </xf>
    <xf numFmtId="176" fontId="22" fillId="0" borderId="13" xfId="0" applyNumberFormat="1" applyFont="1" applyBorder="1" applyProtection="1">
      <alignment vertical="center"/>
    </xf>
    <xf numFmtId="38" fontId="17" fillId="3" borderId="1" xfId="1" applyFont="1" applyFill="1" applyBorder="1" applyAlignment="1" applyProtection="1">
      <alignment vertical="center"/>
    </xf>
    <xf numFmtId="0" fontId="5" fillId="0" borderId="17" xfId="0" applyFont="1" applyBorder="1" applyProtection="1">
      <alignment vertical="center"/>
      <protection locked="0"/>
    </xf>
    <xf numFmtId="0" fontId="5" fillId="0" borderId="8" xfId="0" applyFont="1" applyBorder="1" applyProtection="1">
      <alignment vertical="center"/>
      <protection locked="0"/>
    </xf>
    <xf numFmtId="0" fontId="5" fillId="4" borderId="40" xfId="0" applyFont="1" applyFill="1" applyBorder="1" applyAlignment="1" applyProtection="1">
      <alignment horizontal="center" vertical="center"/>
      <protection locked="0"/>
    </xf>
    <xf numFmtId="0" fontId="5" fillId="4" borderId="53" xfId="0" applyFont="1" applyFill="1" applyBorder="1" applyAlignment="1" applyProtection="1">
      <alignment horizontal="center" vertical="center"/>
      <protection locked="0"/>
    </xf>
    <xf numFmtId="176" fontId="5" fillId="0" borderId="15" xfId="0" applyNumberFormat="1" applyFont="1" applyFill="1" applyBorder="1" applyAlignment="1" applyProtection="1">
      <alignment horizontal="right" vertical="center"/>
      <protection locked="0"/>
    </xf>
    <xf numFmtId="176" fontId="5" fillId="0" borderId="0" xfId="0" applyNumberFormat="1" applyFont="1" applyFill="1" applyProtection="1">
      <alignment vertical="center"/>
      <protection locked="0"/>
    </xf>
    <xf numFmtId="0" fontId="5" fillId="0" borderId="44" xfId="0" applyFont="1" applyBorder="1" applyProtection="1">
      <alignment vertical="center"/>
      <protection locked="0"/>
    </xf>
    <xf numFmtId="0" fontId="5" fillId="0" borderId="24" xfId="0" applyFont="1" applyBorder="1" applyAlignment="1" applyProtection="1">
      <alignment vertical="center"/>
      <protection locked="0"/>
    </xf>
    <xf numFmtId="176" fontId="5" fillId="0" borderId="13" xfId="0" applyNumberFormat="1" applyFont="1" applyBorder="1" applyProtection="1">
      <alignment vertical="center"/>
      <protection locked="0"/>
    </xf>
    <xf numFmtId="178" fontId="9" fillId="2" borderId="31" xfId="0" applyNumberFormat="1" applyFont="1" applyFill="1" applyBorder="1" applyProtection="1">
      <alignment vertical="center"/>
    </xf>
    <xf numFmtId="178" fontId="9" fillId="0" borderId="41" xfId="0" applyNumberFormat="1" applyFont="1" applyFill="1" applyBorder="1" applyProtection="1">
      <alignment vertical="center"/>
    </xf>
    <xf numFmtId="177" fontId="12" fillId="0" borderId="94" xfId="0" applyNumberFormat="1" applyFont="1" applyFill="1" applyBorder="1" applyProtection="1">
      <alignment vertical="center"/>
    </xf>
    <xf numFmtId="178" fontId="9" fillId="0" borderId="54" xfId="0" applyNumberFormat="1" applyFont="1" applyFill="1" applyBorder="1" applyProtection="1">
      <alignment vertical="center"/>
    </xf>
    <xf numFmtId="177" fontId="12" fillId="0" borderId="55" xfId="0" applyNumberFormat="1" applyFont="1" applyFill="1" applyBorder="1" applyProtection="1">
      <alignment vertical="center"/>
    </xf>
    <xf numFmtId="178" fontId="9" fillId="2" borderId="54" xfId="0" applyNumberFormat="1" applyFont="1" applyFill="1" applyBorder="1" applyProtection="1">
      <alignment vertical="center"/>
    </xf>
    <xf numFmtId="178" fontId="9" fillId="0" borderId="28" xfId="0" applyNumberFormat="1" applyFont="1" applyFill="1" applyBorder="1" applyProtection="1">
      <alignment vertical="center"/>
    </xf>
    <xf numFmtId="180" fontId="5" fillId="3" borderId="94" xfId="0" applyNumberFormat="1" applyFont="1" applyFill="1" applyBorder="1" applyProtection="1">
      <alignment vertical="center"/>
    </xf>
    <xf numFmtId="177" fontId="5" fillId="0" borderId="81" xfId="0" applyNumberFormat="1" applyFont="1" applyFill="1" applyBorder="1" applyProtection="1">
      <alignment vertical="center"/>
    </xf>
    <xf numFmtId="178" fontId="9" fillId="0" borderId="18" xfId="0" applyNumberFormat="1" applyFont="1" applyBorder="1" applyProtection="1">
      <alignment vertical="center"/>
    </xf>
    <xf numFmtId="178" fontId="15" fillId="0" borderId="10" xfId="0" applyNumberFormat="1" applyFont="1" applyBorder="1" applyProtection="1">
      <alignment vertical="center"/>
    </xf>
    <xf numFmtId="0" fontId="5" fillId="4" borderId="33" xfId="0" applyFont="1" applyFill="1" applyBorder="1" applyAlignment="1" applyProtection="1">
      <alignment horizontal="center" vertical="center"/>
      <protection locked="0"/>
    </xf>
    <xf numFmtId="0" fontId="5" fillId="0" borderId="48" xfId="0" applyFont="1" applyBorder="1" applyProtection="1">
      <alignment vertical="center"/>
      <protection locked="0"/>
    </xf>
    <xf numFmtId="176" fontId="5" fillId="0" borderId="51" xfId="0" applyNumberFormat="1" applyFont="1" applyFill="1" applyBorder="1" applyAlignment="1" applyProtection="1">
      <alignment horizontal="right" vertical="center"/>
      <protection locked="0"/>
    </xf>
    <xf numFmtId="0" fontId="14" fillId="0" borderId="10" xfId="0" applyFont="1" applyFill="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176" fontId="10" fillId="0" borderId="9" xfId="0" applyNumberFormat="1" applyFont="1" applyBorder="1" applyAlignment="1" applyProtection="1">
      <alignment horizontal="left" vertical="center"/>
      <protection locked="0"/>
    </xf>
    <xf numFmtId="179" fontId="9" fillId="0" borderId="50" xfId="0" applyNumberFormat="1" applyFont="1" applyFill="1" applyBorder="1" applyProtection="1">
      <alignment vertical="center"/>
    </xf>
    <xf numFmtId="0" fontId="2" fillId="0" borderId="0" xfId="0" applyFont="1" applyProtection="1">
      <alignment vertical="center"/>
      <protection locked="0"/>
    </xf>
    <xf numFmtId="0" fontId="5" fillId="0" borderId="1" xfId="0" applyFont="1" applyBorder="1" applyAlignment="1" applyProtection="1">
      <alignment horizontal="center" vertical="center" wrapText="1"/>
      <protection locked="0"/>
    </xf>
    <xf numFmtId="0" fontId="5" fillId="0" borderId="14" xfId="0" applyFont="1" applyBorder="1" applyAlignment="1" applyProtection="1">
      <alignment horizontal="left" vertical="center"/>
      <protection locked="0"/>
    </xf>
    <xf numFmtId="0" fontId="5" fillId="0" borderId="34" xfId="0" applyFont="1" applyBorder="1" applyProtection="1">
      <alignment vertical="center"/>
      <protection locked="0"/>
    </xf>
    <xf numFmtId="0" fontId="5" fillId="5" borderId="100" xfId="0" applyFont="1" applyFill="1" applyBorder="1" applyAlignment="1" applyProtection="1">
      <alignment horizontal="right" vertical="center"/>
      <protection locked="0"/>
    </xf>
    <xf numFmtId="0" fontId="5" fillId="5" borderId="67" xfId="0" applyFont="1" applyFill="1" applyBorder="1" applyAlignment="1" applyProtection="1">
      <alignment horizontal="right" vertical="center"/>
      <protection locked="0"/>
    </xf>
    <xf numFmtId="0" fontId="5" fillId="0" borderId="24" xfId="0" applyFont="1" applyBorder="1" applyProtection="1">
      <alignment vertical="center"/>
      <protection locked="0"/>
    </xf>
    <xf numFmtId="0" fontId="5" fillId="0" borderId="39" xfId="0" applyFont="1" applyBorder="1" applyProtection="1">
      <alignment vertical="center"/>
      <protection locked="0"/>
    </xf>
    <xf numFmtId="0" fontId="5" fillId="5" borderId="79" xfId="0" applyFont="1" applyFill="1" applyBorder="1" applyAlignment="1" applyProtection="1">
      <alignment horizontal="right" vertical="center"/>
      <protection locked="0"/>
    </xf>
    <xf numFmtId="0" fontId="5" fillId="0" borderId="0" xfId="0" applyFont="1" applyBorder="1" applyAlignment="1" applyProtection="1">
      <alignment vertical="center" wrapText="1"/>
      <protection locked="0"/>
    </xf>
    <xf numFmtId="0" fontId="5" fillId="0" borderId="16" xfId="0" applyFont="1" applyBorder="1" applyProtection="1">
      <alignment vertical="center"/>
      <protection locked="0"/>
    </xf>
    <xf numFmtId="0" fontId="5" fillId="0" borderId="29" xfId="0" applyFont="1" applyBorder="1" applyProtection="1">
      <alignment vertical="center"/>
      <protection locked="0"/>
    </xf>
    <xf numFmtId="0" fontId="5" fillId="0" borderId="33" xfId="0" applyFont="1" applyBorder="1" applyAlignment="1" applyProtection="1">
      <alignment vertical="center"/>
      <protection locked="0"/>
    </xf>
    <xf numFmtId="176" fontId="5" fillId="0" borderId="34" xfId="0" applyNumberFormat="1" applyFont="1" applyBorder="1" applyProtection="1">
      <alignment vertical="center"/>
      <protection locked="0"/>
    </xf>
    <xf numFmtId="176" fontId="20" fillId="0" borderId="96" xfId="0" applyNumberFormat="1" applyFont="1" applyFill="1" applyBorder="1" applyAlignment="1" applyProtection="1">
      <alignment horizontal="right" vertical="center"/>
      <protection locked="0"/>
    </xf>
    <xf numFmtId="0" fontId="5" fillId="0" borderId="52" xfId="0" applyFont="1" applyBorder="1" applyAlignment="1" applyProtection="1">
      <alignment vertical="center"/>
      <protection locked="0"/>
    </xf>
    <xf numFmtId="0" fontId="5" fillId="0" borderId="52" xfId="0" applyFont="1" applyBorder="1" applyProtection="1">
      <alignment vertical="center"/>
      <protection locked="0"/>
    </xf>
    <xf numFmtId="0" fontId="5" fillId="0" borderId="11" xfId="0" applyFont="1" applyBorder="1" applyAlignment="1" applyProtection="1">
      <alignment vertical="center"/>
      <protection locked="0"/>
    </xf>
    <xf numFmtId="176" fontId="6" fillId="0" borderId="4" xfId="0" applyNumberFormat="1" applyFont="1" applyFill="1" applyBorder="1" applyAlignment="1" applyProtection="1">
      <alignment vertical="center"/>
      <protection locked="0"/>
    </xf>
    <xf numFmtId="176" fontId="6" fillId="0" borderId="19" xfId="0" applyNumberFormat="1" applyFont="1" applyFill="1" applyBorder="1" applyAlignment="1" applyProtection="1">
      <alignment vertical="center"/>
      <protection locked="0"/>
    </xf>
    <xf numFmtId="0" fontId="5" fillId="0" borderId="16" xfId="0" applyFont="1" applyBorder="1" applyAlignment="1" applyProtection="1">
      <alignment horizontal="left" vertical="center"/>
      <protection locked="0"/>
    </xf>
    <xf numFmtId="176" fontId="6" fillId="0" borderId="4" xfId="0" applyNumberFormat="1" applyFont="1" applyBorder="1" applyAlignment="1" applyProtection="1">
      <alignment vertical="center"/>
      <protection locked="0"/>
    </xf>
    <xf numFmtId="176" fontId="6" fillId="0" borderId="20" xfId="0" applyNumberFormat="1" applyFont="1" applyBorder="1" applyAlignment="1" applyProtection="1">
      <alignment vertical="center"/>
      <protection locked="0"/>
    </xf>
    <xf numFmtId="0" fontId="5" fillId="4" borderId="5" xfId="0" applyFont="1" applyFill="1" applyBorder="1" applyAlignment="1" applyProtection="1">
      <alignment horizontal="center" vertical="center"/>
      <protection locked="0"/>
    </xf>
    <xf numFmtId="176" fontId="6" fillId="0" borderId="21" xfId="0" applyNumberFormat="1" applyFont="1" applyBorder="1" applyAlignment="1" applyProtection="1">
      <alignment vertical="center"/>
      <protection locked="0"/>
    </xf>
    <xf numFmtId="181" fontId="5" fillId="5" borderId="1" xfId="0" applyNumberFormat="1" applyFont="1" applyFill="1" applyBorder="1" applyAlignment="1" applyProtection="1">
      <alignment horizontal="right" vertical="center"/>
      <protection locked="0"/>
    </xf>
    <xf numFmtId="0" fontId="0" fillId="0" borderId="0" xfId="0" applyFill="1" applyBorder="1" applyProtection="1">
      <alignment vertical="center"/>
      <protection locked="0"/>
    </xf>
    <xf numFmtId="176" fontId="6" fillId="0" borderId="51" xfId="0" applyNumberFormat="1" applyFont="1" applyFill="1" applyBorder="1" applyAlignment="1" applyProtection="1">
      <alignment vertical="center"/>
      <protection locked="0"/>
    </xf>
    <xf numFmtId="176" fontId="5" fillId="0" borderId="61" xfId="0" applyNumberFormat="1" applyFont="1" applyBorder="1" applyProtection="1">
      <alignment vertical="center"/>
      <protection locked="0"/>
    </xf>
    <xf numFmtId="38" fontId="13" fillId="0" borderId="10" xfId="1" applyFont="1" applyBorder="1" applyProtection="1">
      <alignment vertical="center"/>
      <protection locked="0"/>
    </xf>
    <xf numFmtId="38" fontId="13" fillId="0" borderId="13" xfId="1" applyFont="1" applyFill="1" applyBorder="1" applyProtection="1">
      <alignment vertical="center"/>
      <protection locked="0"/>
    </xf>
    <xf numFmtId="38" fontId="22" fillId="0" borderId="13" xfId="1" applyFont="1" applyBorder="1" applyProtection="1">
      <alignment vertical="center"/>
      <protection locked="0"/>
    </xf>
    <xf numFmtId="176" fontId="5" fillId="2" borderId="101" xfId="0" applyNumberFormat="1" applyFont="1" applyFill="1" applyBorder="1" applyAlignment="1" applyProtection="1">
      <alignment horizontal="right" vertical="center"/>
    </xf>
    <xf numFmtId="0" fontId="5" fillId="2" borderId="101" xfId="0" applyFont="1" applyFill="1" applyBorder="1" applyAlignment="1" applyProtection="1">
      <alignment horizontal="right" vertical="center"/>
    </xf>
    <xf numFmtId="176" fontId="20" fillId="2" borderId="95" xfId="0" applyNumberFormat="1" applyFont="1" applyFill="1" applyBorder="1" applyAlignment="1" applyProtection="1">
      <alignment horizontal="right" vertical="center"/>
    </xf>
    <xf numFmtId="176" fontId="20" fillId="2" borderId="96" xfId="0" applyNumberFormat="1" applyFont="1" applyFill="1" applyBorder="1" applyAlignment="1" applyProtection="1">
      <alignment horizontal="right" vertical="center"/>
    </xf>
    <xf numFmtId="176" fontId="20" fillId="2" borderId="99" xfId="0" applyNumberFormat="1" applyFont="1" applyFill="1" applyBorder="1" applyAlignment="1" applyProtection="1">
      <alignment horizontal="right" vertical="center"/>
    </xf>
    <xf numFmtId="176" fontId="20" fillId="2" borderId="97" xfId="0" applyNumberFormat="1" applyFont="1" applyFill="1" applyBorder="1" applyAlignment="1" applyProtection="1">
      <alignment horizontal="right" vertical="center"/>
    </xf>
    <xf numFmtId="178" fontId="9" fillId="0" borderId="36" xfId="0" applyNumberFormat="1" applyFont="1" applyFill="1" applyBorder="1" applyProtection="1">
      <alignment vertical="center"/>
    </xf>
    <xf numFmtId="176" fontId="5" fillId="0" borderId="26" xfId="0" applyNumberFormat="1" applyFont="1" applyBorder="1" applyProtection="1">
      <alignment vertical="center"/>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85" xfId="0" applyFont="1" applyBorder="1" applyAlignment="1" applyProtection="1">
      <alignment horizontal="center" vertical="center"/>
      <protection locked="0"/>
    </xf>
    <xf numFmtId="0" fontId="5" fillId="0" borderId="16" xfId="0" applyFont="1" applyBorder="1" applyAlignment="1" applyProtection="1">
      <alignment horizontal="right" vertical="center"/>
      <protection locked="0"/>
    </xf>
    <xf numFmtId="176" fontId="5" fillId="0" borderId="85" xfId="0" applyNumberFormat="1" applyFont="1" applyBorder="1" applyProtection="1">
      <alignment vertical="center"/>
      <protection locked="0"/>
    </xf>
    <xf numFmtId="0" fontId="5" fillId="0" borderId="86" xfId="0" applyFont="1" applyFill="1" applyBorder="1" applyProtection="1">
      <alignment vertical="center"/>
      <protection locked="0"/>
    </xf>
    <xf numFmtId="0" fontId="5" fillId="0" borderId="47"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51" xfId="0" applyFont="1" applyBorder="1" applyProtection="1">
      <alignment vertical="center"/>
      <protection locked="0"/>
    </xf>
    <xf numFmtId="0" fontId="5" fillId="0" borderId="15" xfId="0" applyFont="1" applyBorder="1" applyProtection="1">
      <alignment vertical="center"/>
      <protection locked="0"/>
    </xf>
    <xf numFmtId="0" fontId="14" fillId="0" borderId="13" xfId="0" applyFont="1" applyFill="1" applyBorder="1" applyAlignment="1" applyProtection="1">
      <alignment vertical="center"/>
      <protection locked="0"/>
    </xf>
    <xf numFmtId="0" fontId="10" fillId="0" borderId="9" xfId="0" applyFont="1" applyBorder="1" applyProtection="1">
      <alignment vertical="center"/>
      <protection locked="0"/>
    </xf>
    <xf numFmtId="176" fontId="10" fillId="0" borderId="13" xfId="0" applyNumberFormat="1" applyFont="1" applyFill="1" applyBorder="1" applyProtection="1">
      <alignment vertical="center"/>
      <protection locked="0"/>
    </xf>
    <xf numFmtId="176" fontId="9" fillId="0" borderId="50" xfId="0" applyNumberFormat="1" applyFont="1" applyBorder="1" applyProtection="1">
      <alignment vertical="center"/>
    </xf>
    <xf numFmtId="177" fontId="5" fillId="3" borderId="51" xfId="0" applyNumberFormat="1" applyFont="1" applyFill="1" applyBorder="1" applyProtection="1">
      <alignment vertical="center"/>
    </xf>
    <xf numFmtId="176" fontId="13" fillId="3" borderId="9" xfId="0" applyNumberFormat="1" applyFont="1" applyFill="1" applyBorder="1" applyProtection="1">
      <alignment vertical="center"/>
    </xf>
    <xf numFmtId="0" fontId="5" fillId="0" borderId="0" xfId="0" applyFont="1" applyBorder="1" applyAlignment="1" applyProtection="1">
      <alignment vertical="center"/>
      <protection locked="0"/>
    </xf>
    <xf numFmtId="0" fontId="5" fillId="0" borderId="60" xfId="0" applyFont="1" applyBorder="1" applyAlignment="1" applyProtection="1">
      <alignment horizontal="center" vertical="center"/>
      <protection locked="0"/>
    </xf>
    <xf numFmtId="0" fontId="5" fillId="5" borderId="75" xfId="0" applyFont="1" applyFill="1" applyBorder="1" applyAlignment="1" applyProtection="1">
      <alignment horizontal="right" vertical="center"/>
      <protection locked="0"/>
    </xf>
    <xf numFmtId="0" fontId="5" fillId="0" borderId="24" xfId="0" applyFont="1" applyBorder="1" applyAlignment="1" applyProtection="1">
      <alignment horizontal="left" vertical="center"/>
      <protection locked="0"/>
    </xf>
    <xf numFmtId="0" fontId="5" fillId="0" borderId="25" xfId="0" applyFont="1" applyBorder="1" applyProtection="1">
      <alignment vertical="center"/>
      <protection locked="0"/>
    </xf>
    <xf numFmtId="0" fontId="5" fillId="0" borderId="58" xfId="0" applyFont="1" applyBorder="1" applyAlignment="1" applyProtection="1">
      <alignment horizontal="center" vertical="center" wrapText="1"/>
      <protection locked="0"/>
    </xf>
    <xf numFmtId="176" fontId="5" fillId="0" borderId="59" xfId="0" applyNumberFormat="1" applyFont="1" applyBorder="1" applyAlignment="1" applyProtection="1">
      <alignment horizontal="center" vertical="center" wrapText="1"/>
      <protection locked="0"/>
    </xf>
    <xf numFmtId="0" fontId="5" fillId="0" borderId="27" xfId="0" applyFont="1" applyBorder="1" applyAlignment="1" applyProtection="1">
      <alignment horizontal="right" vertical="center"/>
      <protection locked="0"/>
    </xf>
    <xf numFmtId="0" fontId="5" fillId="0" borderId="70" xfId="0" applyNumberFormat="1" applyFont="1" applyBorder="1" applyProtection="1">
      <alignment vertical="center"/>
      <protection locked="0"/>
    </xf>
    <xf numFmtId="0" fontId="5" fillId="0" borderId="71" xfId="0" applyNumberFormat="1" applyFont="1" applyBorder="1" applyProtection="1">
      <alignment vertical="center"/>
      <protection locked="0"/>
    </xf>
    <xf numFmtId="0" fontId="5" fillId="0" borderId="18" xfId="0" applyFont="1" applyBorder="1" applyAlignment="1" applyProtection="1">
      <alignment horizontal="right" vertical="center"/>
      <protection locked="0"/>
    </xf>
    <xf numFmtId="0" fontId="5" fillId="0" borderId="72" xfId="0" applyNumberFormat="1" applyFont="1" applyBorder="1" applyProtection="1">
      <alignment vertical="center"/>
      <protection locked="0"/>
    </xf>
    <xf numFmtId="0" fontId="5" fillId="4" borderId="35" xfId="0" applyFont="1" applyFill="1" applyBorder="1" applyAlignment="1" applyProtection="1">
      <alignment horizontal="center" vertical="center"/>
      <protection locked="0"/>
    </xf>
    <xf numFmtId="0" fontId="5" fillId="0" borderId="62" xfId="0" applyNumberFormat="1" applyFont="1" applyBorder="1" applyProtection="1">
      <alignment vertical="center"/>
      <protection locked="0"/>
    </xf>
    <xf numFmtId="0" fontId="5" fillId="0" borderId="41" xfId="0" applyFont="1" applyBorder="1" applyAlignment="1" applyProtection="1">
      <alignment horizontal="center" vertical="center"/>
      <protection locked="0"/>
    </xf>
    <xf numFmtId="0" fontId="5" fillId="0" borderId="65" xfId="0" applyNumberFormat="1" applyFont="1" applyBorder="1" applyProtection="1">
      <alignment vertical="center"/>
      <protection locked="0"/>
    </xf>
    <xf numFmtId="0" fontId="7" fillId="0" borderId="56" xfId="0" applyFont="1" applyFill="1" applyBorder="1" applyAlignment="1" applyProtection="1">
      <alignment vertical="center"/>
      <protection locked="0"/>
    </xf>
    <xf numFmtId="0" fontId="5" fillId="0" borderId="61" xfId="0" applyFont="1" applyBorder="1" applyProtection="1">
      <alignment vertical="center"/>
      <protection locked="0"/>
    </xf>
    <xf numFmtId="176" fontId="10" fillId="0" borderId="13" xfId="0" applyNumberFormat="1" applyFont="1" applyBorder="1" applyProtection="1">
      <alignment vertical="center"/>
      <protection locked="0"/>
    </xf>
    <xf numFmtId="0" fontId="10" fillId="0" borderId="10" xfId="0" applyFont="1" applyBorder="1" applyProtection="1">
      <alignment vertical="center"/>
      <protection locked="0"/>
    </xf>
    <xf numFmtId="176" fontId="13" fillId="0" borderId="13" xfId="0" applyNumberFormat="1" applyFont="1" applyFill="1" applyBorder="1" applyProtection="1">
      <alignment vertical="center"/>
      <protection locked="0"/>
    </xf>
    <xf numFmtId="0" fontId="5" fillId="2" borderId="76" xfId="0" applyFont="1" applyFill="1" applyBorder="1" applyAlignment="1" applyProtection="1">
      <alignment horizontal="right" vertical="center"/>
    </xf>
    <xf numFmtId="176" fontId="5" fillId="0" borderId="60" xfId="0" applyNumberFormat="1" applyFont="1" applyFill="1" applyBorder="1" applyAlignment="1" applyProtection="1">
      <alignment horizontal="center" vertical="center" wrapText="1"/>
    </xf>
    <xf numFmtId="177" fontId="7" fillId="3" borderId="64" xfId="0" applyNumberFormat="1" applyFont="1" applyFill="1" applyBorder="1" applyProtection="1">
      <alignment vertical="center"/>
    </xf>
    <xf numFmtId="177" fontId="18" fillId="2" borderId="66" xfId="0" applyNumberFormat="1" applyFont="1" applyFill="1" applyBorder="1" applyProtection="1">
      <alignment vertical="center"/>
    </xf>
    <xf numFmtId="180" fontId="5" fillId="3" borderId="68" xfId="0" applyNumberFormat="1" applyFont="1" applyFill="1" applyBorder="1" applyProtection="1">
      <alignment vertical="center"/>
    </xf>
    <xf numFmtId="177" fontId="5" fillId="3" borderId="69" xfId="0" applyNumberFormat="1" applyFont="1" applyFill="1" applyBorder="1" applyProtection="1">
      <alignment vertical="center"/>
    </xf>
    <xf numFmtId="177" fontId="7" fillId="3" borderId="3" xfId="0" applyNumberFormat="1" applyFont="1" applyFill="1" applyBorder="1" applyProtection="1">
      <alignment vertical="center"/>
    </xf>
    <xf numFmtId="0" fontId="5" fillId="0" borderId="0" xfId="0" applyFont="1" applyBorder="1" applyAlignment="1" applyProtection="1">
      <alignment horizontal="left" vertical="top" wrapText="1"/>
      <protection locked="0"/>
    </xf>
    <xf numFmtId="0" fontId="5" fillId="0" borderId="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4" borderId="103"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wrapText="1"/>
      <protection locked="0"/>
    </xf>
    <xf numFmtId="0" fontId="0" fillId="0" borderId="86" xfId="0" applyBorder="1" applyProtection="1">
      <alignment vertical="center"/>
      <protection locked="0"/>
    </xf>
    <xf numFmtId="0" fontId="0" fillId="0" borderId="18" xfId="0" applyBorder="1" applyProtection="1">
      <alignment vertical="center"/>
      <protection locked="0"/>
    </xf>
    <xf numFmtId="0" fontId="0" fillId="0" borderId="15" xfId="0" applyBorder="1" applyProtection="1">
      <alignment vertical="center"/>
      <protection locked="0"/>
    </xf>
    <xf numFmtId="0" fontId="5" fillId="0" borderId="45" xfId="0" applyFont="1" applyBorder="1" applyProtection="1">
      <alignment vertical="center"/>
      <protection locked="0"/>
    </xf>
    <xf numFmtId="0" fontId="6" fillId="0" borderId="104" xfId="0" applyFont="1" applyBorder="1" applyAlignment="1" applyProtection="1">
      <alignment horizontal="left" vertical="center"/>
      <protection locked="0"/>
    </xf>
    <xf numFmtId="0" fontId="0" fillId="0" borderId="26" xfId="0" applyBorder="1" applyProtection="1">
      <alignment vertical="center"/>
      <protection locked="0"/>
    </xf>
    <xf numFmtId="0" fontId="0" fillId="0" borderId="19" xfId="0" applyBorder="1" applyProtection="1">
      <alignment vertical="center"/>
      <protection locked="0"/>
    </xf>
    <xf numFmtId="176" fontId="5" fillId="0" borderId="10" xfId="0" applyNumberFormat="1" applyFont="1"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5" fillId="0" borderId="105" xfId="0" applyFont="1" applyBorder="1" applyAlignment="1" applyProtection="1">
      <alignment horizontal="right" vertical="center"/>
      <protection locked="0"/>
    </xf>
    <xf numFmtId="0" fontId="5" fillId="0" borderId="34" xfId="0" applyFont="1" applyBorder="1" applyAlignment="1" applyProtection="1">
      <alignment horizontal="right" vertical="center"/>
      <protection locked="0"/>
    </xf>
    <xf numFmtId="0" fontId="5" fillId="0" borderId="106" xfId="0" applyFont="1" applyBorder="1" applyAlignment="1" applyProtection="1">
      <alignment horizontal="right" vertical="center"/>
      <protection locked="0"/>
    </xf>
    <xf numFmtId="0" fontId="5" fillId="0" borderId="26" xfId="0" applyFont="1" applyBorder="1" applyProtection="1">
      <alignment vertical="center"/>
      <protection locked="0"/>
    </xf>
    <xf numFmtId="0" fontId="5" fillId="0" borderId="54" xfId="0" applyFont="1" applyBorder="1" applyProtection="1">
      <alignment vertical="center"/>
      <protection locked="0"/>
    </xf>
    <xf numFmtId="0" fontId="5" fillId="0" borderId="18" xfId="0" applyFont="1" applyBorder="1" applyProtection="1">
      <alignment vertical="center"/>
      <protection locked="0"/>
    </xf>
    <xf numFmtId="0" fontId="5" fillId="4" borderId="36" xfId="0" applyFont="1" applyFill="1" applyBorder="1" applyAlignment="1" applyProtection="1">
      <alignment horizontal="center" vertical="center"/>
      <protection locked="0"/>
    </xf>
    <xf numFmtId="0" fontId="5" fillId="0" borderId="36" xfId="0" applyFont="1" applyBorder="1" applyProtection="1">
      <alignment vertical="center"/>
      <protection locked="0"/>
    </xf>
    <xf numFmtId="0" fontId="5" fillId="0" borderId="107" xfId="0" applyFont="1" applyFill="1" applyBorder="1" applyProtection="1">
      <alignment vertical="center"/>
      <protection locked="0"/>
    </xf>
    <xf numFmtId="0" fontId="5" fillId="4" borderId="108" xfId="0" applyFont="1" applyFill="1" applyBorder="1" applyAlignment="1" applyProtection="1">
      <alignment horizontal="center" vertical="center"/>
      <protection locked="0"/>
    </xf>
    <xf numFmtId="0" fontId="5" fillId="0" borderId="2" xfId="0" applyFont="1" applyBorder="1" applyAlignment="1" applyProtection="1">
      <alignment horizontal="center" vertical="center" wrapText="1"/>
    </xf>
    <xf numFmtId="0" fontId="5" fillId="4" borderId="85"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109" xfId="0" applyFont="1" applyBorder="1" applyAlignment="1" applyProtection="1">
      <alignment horizontal="center" vertical="center"/>
      <protection locked="0"/>
    </xf>
    <xf numFmtId="0" fontId="5" fillId="0" borderId="34" xfId="0" applyFont="1" applyBorder="1" applyAlignment="1" applyProtection="1">
      <alignment vertical="center"/>
      <protection locked="0"/>
    </xf>
    <xf numFmtId="0" fontId="5" fillId="0" borderId="105" xfId="0" applyFont="1" applyBorder="1" applyAlignment="1" applyProtection="1">
      <alignment vertical="center"/>
      <protection locked="0"/>
    </xf>
    <xf numFmtId="0" fontId="5" fillId="0" borderId="106" xfId="0" applyFont="1" applyBorder="1" applyAlignment="1" applyProtection="1">
      <alignment vertical="center"/>
      <protection locked="0"/>
    </xf>
    <xf numFmtId="0" fontId="5" fillId="0" borderId="110" xfId="0" applyFont="1" applyBorder="1" applyProtection="1">
      <alignment vertical="center"/>
      <protection locked="0"/>
    </xf>
    <xf numFmtId="0" fontId="5" fillId="0" borderId="31" xfId="0" applyFont="1" applyBorder="1" applyProtection="1">
      <alignment vertical="center"/>
      <protection locked="0"/>
    </xf>
    <xf numFmtId="176" fontId="5" fillId="0" borderId="36" xfId="0" applyNumberFormat="1" applyFont="1" applyBorder="1" applyProtection="1">
      <alignment vertical="center"/>
      <protection locked="0"/>
    </xf>
    <xf numFmtId="176" fontId="6" fillId="0" borderId="108" xfId="0" applyNumberFormat="1" applyFont="1" applyFill="1" applyBorder="1" applyAlignment="1" applyProtection="1">
      <alignment vertical="center"/>
      <protection locked="0"/>
    </xf>
    <xf numFmtId="176" fontId="6" fillId="0" borderId="108" xfId="0" applyNumberFormat="1" applyFont="1" applyBorder="1" applyAlignment="1" applyProtection="1">
      <alignment vertical="center"/>
      <protection locked="0"/>
    </xf>
    <xf numFmtId="0" fontId="5" fillId="4" borderId="26" xfId="0" applyFont="1" applyFill="1" applyBorder="1" applyAlignment="1" applyProtection="1">
      <alignment horizontal="center" vertical="center"/>
      <protection locked="0"/>
    </xf>
    <xf numFmtId="0" fontId="5" fillId="0" borderId="107" xfId="0" applyFont="1" applyBorder="1" applyAlignment="1" applyProtection="1">
      <alignment horizontal="center" vertical="center" wrapText="1"/>
      <protection locked="0"/>
    </xf>
    <xf numFmtId="176" fontId="5" fillId="0" borderId="21" xfId="0"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176" fontId="5" fillId="0" borderId="7" xfId="0" applyNumberFormat="1" applyFont="1" applyFill="1" applyBorder="1" applyAlignment="1" applyProtection="1">
      <alignment horizontal="right" vertical="center"/>
      <protection locked="0"/>
    </xf>
    <xf numFmtId="176" fontId="9" fillId="0" borderId="26" xfId="0" applyNumberFormat="1" applyFont="1" applyFill="1" applyBorder="1" applyProtection="1">
      <alignment vertical="center"/>
    </xf>
    <xf numFmtId="177" fontId="5" fillId="0" borderId="19" xfId="0" applyNumberFormat="1" applyFont="1" applyFill="1" applyBorder="1" applyProtection="1">
      <alignment vertical="center"/>
    </xf>
    <xf numFmtId="180" fontId="5" fillId="0" borderId="19" xfId="0" applyNumberFormat="1" applyFont="1" applyFill="1" applyBorder="1" applyProtection="1">
      <alignment vertical="center"/>
    </xf>
    <xf numFmtId="176" fontId="5" fillId="0" borderId="26" xfId="0" applyNumberFormat="1" applyFont="1" applyFill="1" applyBorder="1" applyProtection="1">
      <alignment vertical="center"/>
    </xf>
    <xf numFmtId="0" fontId="5" fillId="0" borderId="0" xfId="0" applyFont="1" applyBorder="1" applyAlignment="1" applyProtection="1">
      <alignment vertical="top" wrapText="1"/>
      <protection locked="0"/>
    </xf>
    <xf numFmtId="0" fontId="5" fillId="0" borderId="0" xfId="0" applyFont="1" applyBorder="1" applyAlignment="1" applyProtection="1">
      <alignment vertical="top"/>
      <protection locked="0"/>
    </xf>
    <xf numFmtId="0" fontId="5" fillId="0" borderId="85" xfId="0" applyFont="1" applyFill="1" applyBorder="1" applyAlignment="1" applyProtection="1">
      <alignment vertical="center"/>
      <protection locked="0"/>
    </xf>
    <xf numFmtId="0" fontId="5" fillId="0" borderId="112" xfId="0" applyNumberFormat="1" applyFont="1" applyBorder="1" applyProtection="1">
      <alignment vertical="center"/>
      <protection locked="0"/>
    </xf>
    <xf numFmtId="176" fontId="6" fillId="0" borderId="15" xfId="0" applyNumberFormat="1" applyFont="1" applyBorder="1" applyAlignment="1" applyProtection="1">
      <alignment vertical="center"/>
      <protection locked="0"/>
    </xf>
    <xf numFmtId="0" fontId="5" fillId="4" borderId="110" xfId="0" applyFont="1" applyFill="1" applyBorder="1" applyAlignment="1" applyProtection="1">
      <alignment horizontal="center" vertical="center"/>
      <protection locked="0"/>
    </xf>
    <xf numFmtId="0" fontId="5" fillId="4" borderId="28" xfId="0" applyFont="1" applyFill="1" applyBorder="1" applyAlignment="1" applyProtection="1">
      <alignment horizontal="center" vertical="center"/>
      <protection locked="0"/>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0" fillId="0" borderId="27" xfId="0" applyBorder="1" applyProtection="1">
      <alignment vertical="center"/>
      <protection locked="0"/>
    </xf>
    <xf numFmtId="0" fontId="0" fillId="0" borderId="20" xfId="0" applyBorder="1" applyProtection="1">
      <alignment vertical="center"/>
      <protection locked="0"/>
    </xf>
    <xf numFmtId="176" fontId="5" fillId="0" borderId="19" xfId="0" applyNumberFormat="1" applyFont="1" applyBorder="1" applyProtection="1">
      <alignment vertical="center"/>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0" xfId="0" applyFont="1" applyBorder="1" applyAlignment="1" applyProtection="1">
      <alignment horizontal="left" vertical="center"/>
      <protection locked="0"/>
    </xf>
    <xf numFmtId="0" fontId="5" fillId="0" borderId="26" xfId="0" applyFont="1" applyBorder="1" applyAlignment="1" applyProtection="1">
      <alignment horizontal="right" vertical="center"/>
      <protection locked="0"/>
    </xf>
    <xf numFmtId="177" fontId="5" fillId="3" borderId="75" xfId="0" applyNumberFormat="1" applyFont="1" applyFill="1" applyBorder="1" applyProtection="1">
      <alignment vertical="center"/>
    </xf>
    <xf numFmtId="0" fontId="5" fillId="4" borderId="6" xfId="0" applyFont="1" applyFill="1" applyBorder="1" applyAlignment="1" applyProtection="1">
      <alignment horizontal="center" vertical="center"/>
      <protection locked="0"/>
    </xf>
    <xf numFmtId="0" fontId="5" fillId="0" borderId="114" xfId="0" applyNumberFormat="1" applyFont="1" applyBorder="1" applyProtection="1">
      <alignment vertical="center"/>
      <protection locked="0"/>
    </xf>
    <xf numFmtId="177" fontId="5" fillId="3" borderId="76" xfId="0" applyNumberFormat="1" applyFont="1" applyFill="1" applyBorder="1" applyProtection="1">
      <alignment vertical="center"/>
    </xf>
    <xf numFmtId="0" fontId="5" fillId="0" borderId="26" xfId="0" applyFont="1" applyBorder="1" applyAlignment="1" applyProtection="1">
      <alignment horizontal="center" vertical="center"/>
      <protection locked="0"/>
    </xf>
    <xf numFmtId="0" fontId="5" fillId="0" borderId="32" xfId="0" applyFont="1" applyBorder="1" applyAlignment="1" applyProtection="1">
      <alignment horizontal="left" vertical="center"/>
      <protection locked="0"/>
    </xf>
    <xf numFmtId="3" fontId="13" fillId="0" borderId="13" xfId="0" applyNumberFormat="1" applyFont="1" applyBorder="1" applyProtection="1">
      <alignment vertical="center"/>
      <protection locked="0"/>
    </xf>
    <xf numFmtId="176" fontId="13" fillId="3" borderId="1" xfId="0" applyNumberFormat="1" applyFont="1" applyFill="1" applyBorder="1" applyProtection="1">
      <alignment vertical="center"/>
    </xf>
    <xf numFmtId="0" fontId="5" fillId="0" borderId="1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13" fillId="0" borderId="0" xfId="0" applyFont="1" applyBorder="1" applyAlignment="1" applyProtection="1">
      <alignment vertical="center"/>
      <protection locked="0"/>
    </xf>
    <xf numFmtId="176" fontId="9" fillId="0" borderId="27" xfId="0" applyNumberFormat="1" applyFont="1" applyBorder="1" applyProtection="1">
      <alignment vertical="center"/>
    </xf>
    <xf numFmtId="0" fontId="5" fillId="0" borderId="14" xfId="0" applyFont="1" applyBorder="1" applyAlignment="1" applyProtection="1">
      <alignment horizontal="center" vertical="center"/>
      <protection locked="0"/>
    </xf>
    <xf numFmtId="177" fontId="9" fillId="6" borderId="26" xfId="0" applyNumberFormat="1" applyFont="1" applyFill="1" applyBorder="1" applyProtection="1">
      <alignment vertical="center"/>
    </xf>
    <xf numFmtId="177" fontId="5" fillId="3" borderId="21" xfId="0" applyNumberFormat="1" applyFont="1" applyFill="1" applyBorder="1" applyProtection="1">
      <alignment vertical="center"/>
    </xf>
    <xf numFmtId="0" fontId="5" fillId="4" borderId="102" xfId="0" applyFont="1" applyFill="1" applyBorder="1" applyAlignment="1" applyProtection="1">
      <alignment horizontal="center" vertical="center"/>
      <protection locked="0"/>
    </xf>
    <xf numFmtId="0" fontId="5" fillId="4" borderId="12" xfId="0" applyFont="1" applyFill="1" applyBorder="1" applyAlignment="1" applyProtection="1">
      <alignment horizontal="center" vertical="center"/>
      <protection locked="0"/>
    </xf>
    <xf numFmtId="0" fontId="5" fillId="0" borderId="19" xfId="0" applyFont="1" applyBorder="1" applyAlignment="1" applyProtection="1">
      <alignment horizontal="right" vertical="center"/>
      <protection locked="0"/>
    </xf>
    <xf numFmtId="176" fontId="9" fillId="0" borderId="16" xfId="0" applyNumberFormat="1" applyFont="1" applyBorder="1" applyProtection="1">
      <alignment vertical="center"/>
    </xf>
    <xf numFmtId="176" fontId="9" fillId="0" borderId="11" xfId="0" applyNumberFormat="1" applyFont="1" applyBorder="1" applyProtection="1">
      <alignment vertical="center"/>
    </xf>
    <xf numFmtId="176" fontId="5" fillId="0" borderId="116" xfId="0" applyNumberFormat="1" applyFont="1" applyBorder="1" applyProtection="1">
      <alignment vertical="center"/>
      <protection locked="0"/>
    </xf>
    <xf numFmtId="176" fontId="5" fillId="0" borderId="15" xfId="0" applyNumberFormat="1" applyFont="1" applyFill="1" applyBorder="1" applyProtection="1">
      <alignment vertical="center"/>
      <protection locked="0"/>
    </xf>
    <xf numFmtId="176" fontId="5" fillId="0" borderId="21" xfId="0" applyNumberFormat="1" applyFont="1" applyBorder="1" applyProtection="1">
      <alignment vertical="center"/>
      <protection locked="0"/>
    </xf>
    <xf numFmtId="0" fontId="5" fillId="0" borderId="4" xfId="0" applyFont="1" applyBorder="1" applyAlignment="1" applyProtection="1">
      <alignment horizontal="right" vertical="center"/>
      <protection locked="0"/>
    </xf>
    <xf numFmtId="0" fontId="5" fillId="0" borderId="4" xfId="0" applyFont="1" applyBorder="1" applyAlignment="1" applyProtection="1">
      <alignment horizontal="center" vertical="center"/>
      <protection locked="0"/>
    </xf>
    <xf numFmtId="0" fontId="5" fillId="0" borderId="16" xfId="0" applyFont="1" applyBorder="1" applyAlignment="1" applyProtection="1">
      <alignment horizontal="center" vertical="center" wrapText="1"/>
    </xf>
    <xf numFmtId="176" fontId="5" fillId="0" borderId="49" xfId="0" applyNumberFormat="1" applyFont="1" applyBorder="1" applyAlignment="1" applyProtection="1">
      <alignment horizontal="center" vertical="center"/>
      <protection locked="0"/>
    </xf>
    <xf numFmtId="0" fontId="0" fillId="0" borderId="51" xfId="0" applyBorder="1" applyProtection="1">
      <alignment vertical="center"/>
      <protection locked="0"/>
    </xf>
    <xf numFmtId="0" fontId="0" fillId="0" borderId="50" xfId="0" applyBorder="1" applyProtection="1">
      <alignment vertical="center"/>
      <protection locked="0"/>
    </xf>
    <xf numFmtId="0" fontId="5" fillId="0" borderId="117" xfId="0" applyFont="1" applyBorder="1" applyProtection="1">
      <alignment vertical="center"/>
      <protection locked="0"/>
    </xf>
    <xf numFmtId="0" fontId="5" fillId="0" borderId="118" xfId="0" applyFont="1" applyBorder="1" applyProtection="1">
      <alignment vertical="center"/>
      <protection locked="0"/>
    </xf>
    <xf numFmtId="176" fontId="5" fillId="5" borderId="1" xfId="0" applyNumberFormat="1" applyFont="1" applyFill="1" applyBorder="1" applyAlignment="1" applyProtection="1">
      <alignment horizontal="right" vertical="center" wrapText="1"/>
      <protection locked="0"/>
    </xf>
    <xf numFmtId="177" fontId="9" fillId="0" borderId="26" xfId="0" applyNumberFormat="1" applyFont="1" applyFill="1" applyBorder="1" applyProtection="1">
      <alignment vertical="center"/>
    </xf>
    <xf numFmtId="180" fontId="5" fillId="3" borderId="20" xfId="0" applyNumberFormat="1" applyFont="1" applyFill="1" applyBorder="1" applyProtection="1">
      <alignment vertical="center"/>
    </xf>
    <xf numFmtId="180" fontId="5" fillId="0" borderId="20" xfId="0" applyNumberFormat="1" applyFont="1" applyFill="1" applyBorder="1" applyProtection="1">
      <alignment vertical="center"/>
    </xf>
    <xf numFmtId="181" fontId="5" fillId="0" borderId="22" xfId="0" applyNumberFormat="1" applyFont="1" applyFill="1" applyBorder="1" applyAlignment="1" applyProtection="1">
      <alignment horizontal="right" vertical="center"/>
      <protection locked="0"/>
    </xf>
    <xf numFmtId="0" fontId="5" fillId="0" borderId="49" xfId="0" applyFont="1" applyFill="1" applyBorder="1" applyAlignment="1" applyProtection="1">
      <alignment horizontal="center" vertical="center"/>
      <protection locked="0"/>
    </xf>
    <xf numFmtId="180" fontId="5" fillId="0" borderId="27" xfId="0" applyNumberFormat="1" applyFont="1" applyFill="1" applyBorder="1" applyProtection="1">
      <alignment vertical="center"/>
    </xf>
    <xf numFmtId="0" fontId="5" fillId="2" borderId="19" xfId="0" applyFont="1" applyFill="1" applyBorder="1" applyAlignment="1" applyProtection="1">
      <alignment horizontal="center" vertical="center" wrapText="1"/>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177" fontId="18" fillId="2" borderId="64" xfId="0" applyNumberFormat="1" applyFont="1" applyFill="1" applyBorder="1" applyAlignment="1" applyProtection="1">
      <alignment horizontal="right" vertical="center"/>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176" fontId="5" fillId="0" borderId="28" xfId="0" applyNumberFormat="1" applyFont="1" applyFill="1" applyBorder="1" applyAlignment="1" applyProtection="1">
      <alignment horizontal="center" vertical="center" wrapText="1"/>
    </xf>
    <xf numFmtId="0" fontId="5" fillId="0" borderId="111" xfId="0" applyFont="1" applyBorder="1" applyAlignment="1" applyProtection="1">
      <alignment horizontal="left" vertical="center"/>
      <protection locked="0"/>
    </xf>
    <xf numFmtId="177" fontId="5" fillId="3" borderId="20" xfId="0" applyNumberFormat="1" applyFont="1" applyFill="1" applyBorder="1" applyProtection="1">
      <alignment vertical="center"/>
    </xf>
    <xf numFmtId="176" fontId="9" fillId="0" borderId="27" xfId="0" applyNumberFormat="1" applyFont="1" applyFill="1" applyBorder="1" applyProtection="1">
      <alignment vertical="center"/>
    </xf>
    <xf numFmtId="177" fontId="5" fillId="0" borderId="20" xfId="0" applyNumberFormat="1" applyFont="1" applyFill="1" applyBorder="1" applyProtection="1">
      <alignment vertical="center"/>
    </xf>
    <xf numFmtId="0" fontId="5" fillId="4" borderId="11" xfId="0" applyFont="1" applyFill="1" applyBorder="1" applyAlignment="1" applyProtection="1">
      <alignment horizontal="center" vertical="center"/>
      <protection locked="0"/>
    </xf>
    <xf numFmtId="176" fontId="5" fillId="0" borderId="119" xfId="0"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center" vertical="center"/>
      <protection locked="0"/>
    </xf>
    <xf numFmtId="176" fontId="5" fillId="0" borderId="120" xfId="0" applyNumberFormat="1" applyFont="1" applyFill="1" applyBorder="1" applyAlignment="1" applyProtection="1">
      <alignment horizontal="right" vertical="center"/>
      <protection locked="0"/>
    </xf>
    <xf numFmtId="0" fontId="5" fillId="4" borderId="38"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180" fontId="5" fillId="3" borderId="17" xfId="0" applyNumberFormat="1" applyFont="1" applyFill="1" applyBorder="1" applyProtection="1">
      <alignment vertical="center"/>
    </xf>
    <xf numFmtId="180" fontId="5" fillId="0" borderId="17" xfId="0" applyNumberFormat="1" applyFont="1" applyFill="1" applyBorder="1" applyProtection="1">
      <alignment vertical="center"/>
    </xf>
    <xf numFmtId="176" fontId="5" fillId="0" borderId="17" xfId="0" applyNumberFormat="1" applyFont="1" applyFill="1" applyBorder="1" applyProtection="1">
      <alignment vertical="center"/>
    </xf>
    <xf numFmtId="0" fontId="5" fillId="0" borderId="26"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176" fontId="5" fillId="0" borderId="20" xfId="0" applyNumberFormat="1" applyFont="1" applyBorder="1" applyAlignment="1" applyProtection="1">
      <alignment horizontal="center" vertical="center" wrapText="1"/>
      <protection locked="0"/>
    </xf>
    <xf numFmtId="0" fontId="5" fillId="5" borderId="1" xfId="0" applyFont="1" applyFill="1" applyBorder="1" applyAlignment="1" applyProtection="1">
      <alignment horizontal="left" vertical="center"/>
      <protection locked="0"/>
    </xf>
    <xf numFmtId="177" fontId="5" fillId="3" borderId="21" xfId="0" applyNumberFormat="1" applyFont="1" applyFill="1" applyBorder="1" applyAlignment="1" applyProtection="1">
      <alignment horizontal="right" vertical="center"/>
    </xf>
    <xf numFmtId="0" fontId="5" fillId="0" borderId="121" xfId="0" applyNumberFormat="1" applyFont="1" applyBorder="1" applyProtection="1">
      <alignment vertical="center"/>
      <protection locked="0"/>
    </xf>
    <xf numFmtId="0" fontId="5" fillId="0" borderId="122" xfId="0" applyFont="1" applyBorder="1" applyAlignment="1" applyProtection="1">
      <alignment horizontal="right" vertical="center"/>
      <protection locked="0"/>
    </xf>
    <xf numFmtId="0" fontId="5" fillId="0" borderId="107" xfId="0" applyFont="1" applyBorder="1" applyAlignment="1" applyProtection="1">
      <alignment horizontal="right" vertical="center"/>
      <protection locked="0"/>
    </xf>
    <xf numFmtId="0" fontId="5" fillId="0" borderId="113" xfId="0" applyNumberFormat="1" applyFont="1" applyBorder="1" applyProtection="1">
      <alignment vertical="center"/>
      <protection locked="0"/>
    </xf>
    <xf numFmtId="0" fontId="5" fillId="0" borderId="23" xfId="0" applyFont="1" applyFill="1" applyBorder="1" applyAlignment="1" applyProtection="1">
      <alignment horizontal="center" vertical="center"/>
      <protection locked="0"/>
    </xf>
    <xf numFmtId="177" fontId="7" fillId="3" borderId="19" xfId="0" applyNumberFormat="1" applyFont="1" applyFill="1" applyBorder="1" applyProtection="1">
      <alignment vertical="center"/>
    </xf>
    <xf numFmtId="0" fontId="5" fillId="0" borderId="123" xfId="0" applyNumberFormat="1" applyFont="1" applyBorder="1" applyProtection="1">
      <alignment vertical="center"/>
      <protection locked="0"/>
    </xf>
    <xf numFmtId="0" fontId="5" fillId="4" borderId="124" xfId="0" applyFont="1" applyFill="1" applyBorder="1" applyAlignment="1" applyProtection="1">
      <alignment horizontal="center" vertical="center"/>
      <protection locked="0"/>
    </xf>
    <xf numFmtId="0" fontId="5" fillId="0" borderId="125" xfId="0" applyNumberFormat="1" applyFont="1" applyBorder="1" applyProtection="1">
      <alignment vertical="center"/>
      <protection locked="0"/>
    </xf>
    <xf numFmtId="177" fontId="12" fillId="2" borderId="55" xfId="0" applyNumberFormat="1" applyFont="1" applyFill="1" applyBorder="1" applyProtection="1">
      <alignment vertical="center"/>
    </xf>
    <xf numFmtId="177" fontId="12" fillId="2" borderId="37" xfId="0" applyNumberFormat="1" applyFont="1" applyFill="1" applyBorder="1" applyProtection="1">
      <alignment vertical="center"/>
    </xf>
    <xf numFmtId="177" fontId="12" fillId="2" borderId="46" xfId="0" applyNumberFormat="1" applyFont="1" applyFill="1" applyBorder="1" applyProtection="1">
      <alignment vertical="center"/>
    </xf>
    <xf numFmtId="177" fontId="7" fillId="2" borderId="21" xfId="0" applyNumberFormat="1" applyFont="1" applyFill="1" applyBorder="1" applyProtection="1">
      <alignment vertical="center"/>
    </xf>
    <xf numFmtId="176" fontId="5" fillId="0" borderId="26" xfId="0" applyNumberFormat="1" applyFont="1" applyBorder="1" applyProtection="1">
      <alignment vertical="center"/>
      <protection locked="0"/>
    </xf>
    <xf numFmtId="0" fontId="0" fillId="0" borderId="85" xfId="0" applyBorder="1" applyProtection="1">
      <alignment vertical="center"/>
      <protection locked="0"/>
    </xf>
    <xf numFmtId="177" fontId="7" fillId="3" borderId="20" xfId="0" applyNumberFormat="1" applyFont="1" applyFill="1" applyBorder="1" applyProtection="1">
      <alignment vertical="center"/>
    </xf>
    <xf numFmtId="177" fontId="12" fillId="2" borderId="32" xfId="0" applyNumberFormat="1" applyFont="1" applyFill="1" applyBorder="1" applyProtection="1">
      <alignment vertical="center"/>
    </xf>
    <xf numFmtId="177" fontId="12" fillId="2" borderId="51" xfId="0" applyNumberFormat="1" applyFont="1" applyFill="1" applyBorder="1" applyProtection="1">
      <alignment vertical="center"/>
    </xf>
    <xf numFmtId="178" fontId="9" fillId="0" borderId="27" xfId="0" applyNumberFormat="1" applyFont="1" applyBorder="1" applyProtection="1">
      <alignment vertical="center"/>
    </xf>
    <xf numFmtId="178" fontId="9" fillId="0" borderId="26" xfId="0" applyNumberFormat="1" applyFont="1" applyBorder="1" applyProtection="1">
      <alignment vertical="center"/>
    </xf>
    <xf numFmtId="176" fontId="5" fillId="0" borderId="15" xfId="0" applyNumberFormat="1" applyFont="1" applyFill="1" applyBorder="1" applyAlignment="1" applyProtection="1">
      <alignment horizontal="right" vertical="center" wrapText="1"/>
      <protection locked="0"/>
    </xf>
    <xf numFmtId="180" fontId="5" fillId="3" borderId="19" xfId="0" applyNumberFormat="1" applyFont="1" applyFill="1" applyBorder="1" applyProtection="1">
      <alignment vertical="center"/>
      <protection locked="0"/>
    </xf>
    <xf numFmtId="0" fontId="5" fillId="0" borderId="126" xfId="0" applyNumberFormat="1" applyFont="1" applyBorder="1" applyProtection="1">
      <alignment vertical="center"/>
      <protection locked="0"/>
    </xf>
    <xf numFmtId="0" fontId="5" fillId="5" borderId="1" xfId="0" applyFont="1" applyFill="1" applyBorder="1" applyAlignment="1" applyProtection="1">
      <alignment horizontal="right" vertical="center"/>
      <protection locked="0"/>
    </xf>
    <xf numFmtId="0" fontId="5" fillId="0" borderId="8"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77" xfId="0" applyFont="1" applyBorder="1" applyAlignment="1" applyProtection="1">
      <alignment horizontal="left" vertical="center"/>
      <protection locked="0"/>
    </xf>
    <xf numFmtId="0" fontId="5" fillId="0" borderId="30" xfId="0" applyFont="1" applyBorder="1" applyAlignment="1" applyProtection="1">
      <alignment vertical="center"/>
      <protection locked="0"/>
    </xf>
    <xf numFmtId="0" fontId="5" fillId="0" borderId="28"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0" xfId="0" applyFont="1" applyAlignment="1" applyProtection="1">
      <alignment horizontal="center" vertical="center"/>
      <protection locked="0"/>
    </xf>
    <xf numFmtId="0" fontId="5" fillId="0" borderId="34" xfId="0" applyFont="1" applyBorder="1" applyAlignment="1" applyProtection="1">
      <alignment horizontal="left" vertical="center"/>
      <protection locked="0"/>
    </xf>
    <xf numFmtId="0" fontId="5" fillId="0" borderId="16" xfId="0" applyFont="1" applyFill="1" applyBorder="1" applyAlignment="1" applyProtection="1">
      <alignment horizontal="left" vertical="center"/>
      <protection locked="0"/>
    </xf>
    <xf numFmtId="177" fontId="12" fillId="0" borderId="32" xfId="0" applyNumberFormat="1" applyFont="1" applyFill="1" applyBorder="1" applyProtection="1">
      <alignment vertical="center"/>
    </xf>
    <xf numFmtId="178" fontId="9" fillId="0" borderId="31" xfId="0" applyNumberFormat="1" applyFont="1" applyFill="1" applyBorder="1" applyProtection="1">
      <alignment vertical="center"/>
    </xf>
    <xf numFmtId="0" fontId="5" fillId="0" borderId="77" xfId="0" applyFont="1" applyBorder="1" applyAlignment="1" applyProtection="1">
      <alignment vertical="center"/>
      <protection locked="0"/>
    </xf>
    <xf numFmtId="0" fontId="5" fillId="2" borderId="128" xfId="0" applyFont="1" applyFill="1" applyBorder="1" applyAlignment="1" applyProtection="1">
      <alignment horizontal="right" vertical="center"/>
    </xf>
    <xf numFmtId="0" fontId="5" fillId="2" borderId="127" xfId="0" applyFont="1" applyFill="1" applyBorder="1" applyAlignment="1" applyProtection="1">
      <alignment horizontal="right" vertical="center"/>
    </xf>
    <xf numFmtId="0" fontId="5" fillId="0" borderId="47" xfId="0" applyFont="1" applyFill="1" applyBorder="1" applyAlignment="1" applyProtection="1">
      <alignment horizontal="left" vertical="center"/>
      <protection locked="0"/>
    </xf>
    <xf numFmtId="0" fontId="5" fillId="0" borderId="49" xfId="0" applyFont="1" applyFill="1" applyBorder="1" applyAlignment="1" applyProtection="1">
      <alignment horizontal="left" vertical="center"/>
      <protection locked="0"/>
    </xf>
    <xf numFmtId="0" fontId="5" fillId="0" borderId="50" xfId="0" applyFont="1" applyFill="1" applyBorder="1" applyAlignment="1" applyProtection="1">
      <alignment horizontal="center" vertical="center"/>
      <protection locked="0"/>
    </xf>
    <xf numFmtId="176" fontId="20" fillId="2" borderId="50" xfId="0" applyNumberFormat="1" applyFont="1" applyFill="1" applyBorder="1" applyAlignment="1" applyProtection="1">
      <alignment horizontal="right" vertical="center"/>
    </xf>
    <xf numFmtId="0" fontId="5" fillId="0" borderId="5" xfId="0" applyFont="1" applyFill="1" applyBorder="1" applyAlignment="1" applyProtection="1">
      <alignment horizontal="left" vertical="center"/>
      <protection locked="0"/>
    </xf>
    <xf numFmtId="0" fontId="5" fillId="0" borderId="26" xfId="0" applyFont="1" applyFill="1" applyBorder="1" applyAlignment="1" applyProtection="1">
      <alignment horizontal="center" vertical="center"/>
      <protection locked="0"/>
    </xf>
    <xf numFmtId="176" fontId="20" fillId="2" borderId="26" xfId="0" applyNumberFormat="1" applyFont="1" applyFill="1" applyBorder="1" applyAlignment="1" applyProtection="1">
      <alignment horizontal="right" vertical="center"/>
    </xf>
    <xf numFmtId="176" fontId="20" fillId="0" borderId="26" xfId="0" applyNumberFormat="1" applyFont="1" applyFill="1" applyBorder="1" applyAlignment="1" applyProtection="1">
      <alignment horizontal="right" vertical="center"/>
    </xf>
    <xf numFmtId="177" fontId="12" fillId="0" borderId="37" xfId="0" applyNumberFormat="1" applyFont="1" applyFill="1" applyBorder="1" applyProtection="1">
      <alignment vertical="center"/>
    </xf>
    <xf numFmtId="176" fontId="20" fillId="2" borderId="130" xfId="0" applyNumberFormat="1" applyFont="1" applyFill="1" applyBorder="1" applyAlignment="1" applyProtection="1">
      <alignment horizontal="right" vertical="center"/>
    </xf>
    <xf numFmtId="0" fontId="5" fillId="0" borderId="131" xfId="0" applyFont="1" applyBorder="1" applyAlignment="1" applyProtection="1">
      <alignment vertical="center"/>
      <protection locked="0"/>
    </xf>
    <xf numFmtId="0" fontId="5" fillId="0" borderId="132" xfId="0" applyFont="1" applyBorder="1" applyAlignment="1" applyProtection="1">
      <alignment vertical="center"/>
      <protection locked="0"/>
    </xf>
    <xf numFmtId="0" fontId="5" fillId="0" borderId="133" xfId="0" applyFont="1" applyBorder="1" applyAlignment="1" applyProtection="1">
      <alignment vertical="center"/>
      <protection locked="0"/>
    </xf>
    <xf numFmtId="0" fontId="5" fillId="0" borderId="134" xfId="0" applyFont="1" applyBorder="1" applyAlignment="1" applyProtection="1">
      <alignment vertical="center"/>
      <protection locked="0"/>
    </xf>
    <xf numFmtId="0" fontId="5" fillId="0" borderId="135" xfId="0" applyFont="1" applyBorder="1" applyProtection="1">
      <alignment vertical="center"/>
      <protection locked="0"/>
    </xf>
    <xf numFmtId="176" fontId="20" fillId="2" borderId="129" xfId="0" applyNumberFormat="1" applyFont="1" applyFill="1" applyBorder="1" applyAlignment="1" applyProtection="1">
      <alignment horizontal="right" vertical="center"/>
    </xf>
    <xf numFmtId="178" fontId="9" fillId="2" borderId="135" xfId="0" applyNumberFormat="1" applyFont="1" applyFill="1" applyBorder="1" applyProtection="1">
      <alignment vertical="center"/>
    </xf>
    <xf numFmtId="177" fontId="12" fillId="2" borderId="136" xfId="0" applyNumberFormat="1" applyFont="1" applyFill="1" applyBorder="1" applyProtection="1">
      <alignment vertical="center"/>
    </xf>
    <xf numFmtId="176" fontId="20" fillId="2" borderId="104" xfId="0" applyNumberFormat="1" applyFont="1" applyFill="1" applyBorder="1" applyAlignment="1" applyProtection="1">
      <alignment horizontal="right" vertical="center"/>
    </xf>
    <xf numFmtId="176" fontId="5" fillId="0" borderId="107" xfId="0" applyNumberFormat="1" applyFont="1" applyFill="1" applyBorder="1" applyAlignment="1" applyProtection="1">
      <alignment horizontal="right" vertical="center"/>
      <protection locked="0"/>
    </xf>
    <xf numFmtId="0" fontId="5" fillId="0" borderId="137" xfId="0" applyFont="1" applyBorder="1" applyAlignment="1" applyProtection="1">
      <alignment vertical="center"/>
      <protection locked="0"/>
    </xf>
    <xf numFmtId="0" fontId="5" fillId="4" borderId="31" xfId="0" applyFont="1" applyFill="1" applyBorder="1" applyAlignment="1" applyProtection="1">
      <alignment horizontal="center" vertical="center"/>
      <protection locked="0"/>
    </xf>
    <xf numFmtId="0" fontId="5" fillId="0" borderId="138" xfId="0" applyFont="1" applyBorder="1" applyAlignment="1" applyProtection="1">
      <alignment vertical="center"/>
      <protection locked="0"/>
    </xf>
    <xf numFmtId="0" fontId="5" fillId="4" borderId="45" xfId="0" applyFont="1" applyFill="1" applyBorder="1" applyAlignment="1" applyProtection="1">
      <alignment horizontal="center" vertical="center"/>
      <protection locked="0"/>
    </xf>
    <xf numFmtId="178" fontId="9" fillId="0" borderId="45" xfId="0" applyNumberFormat="1" applyFont="1" applyFill="1" applyBorder="1" applyProtection="1">
      <alignment vertical="center"/>
    </xf>
    <xf numFmtId="177" fontId="12" fillId="0" borderId="46" xfId="0" applyNumberFormat="1" applyFont="1" applyFill="1" applyBorder="1" applyProtection="1">
      <alignment vertical="center"/>
    </xf>
    <xf numFmtId="176" fontId="20" fillId="2" borderId="95" xfId="0" applyNumberFormat="1" applyFont="1" applyFill="1" applyBorder="1" applyAlignment="1" applyProtection="1">
      <alignment horizontal="right" vertical="center"/>
      <protection locked="0"/>
    </xf>
    <xf numFmtId="176" fontId="20" fillId="2" borderId="97" xfId="0" applyNumberFormat="1" applyFont="1" applyFill="1" applyBorder="1" applyAlignment="1" applyProtection="1">
      <alignment horizontal="right" vertical="center"/>
      <protection locked="0"/>
    </xf>
    <xf numFmtId="0" fontId="5" fillId="0" borderId="139" xfId="0" applyFont="1" applyBorder="1" applyAlignment="1" applyProtection="1">
      <alignment vertical="center"/>
      <protection locked="0"/>
    </xf>
    <xf numFmtId="0" fontId="5" fillId="0" borderId="88" xfId="0" applyFont="1" applyBorder="1" applyAlignment="1" applyProtection="1">
      <alignment vertical="center"/>
      <protection locked="0"/>
    </xf>
    <xf numFmtId="0" fontId="5" fillId="4" borderId="89" xfId="0" applyFont="1" applyFill="1" applyBorder="1" applyAlignment="1" applyProtection="1">
      <alignment horizontal="center" vertical="center"/>
      <protection locked="0"/>
    </xf>
    <xf numFmtId="176" fontId="20" fillId="2" borderId="140" xfId="0" applyNumberFormat="1" applyFont="1" applyFill="1" applyBorder="1" applyAlignment="1" applyProtection="1">
      <alignment horizontal="right" vertical="center"/>
      <protection locked="0"/>
    </xf>
    <xf numFmtId="178" fontId="9" fillId="2" borderId="89" xfId="0" applyNumberFormat="1" applyFont="1" applyFill="1" applyBorder="1" applyProtection="1">
      <alignment vertical="center"/>
    </xf>
    <xf numFmtId="177" fontId="12" fillId="2" borderId="81" xfId="0" applyNumberFormat="1" applyFont="1" applyFill="1" applyBorder="1" applyProtection="1">
      <alignment vertical="center"/>
    </xf>
    <xf numFmtId="178" fontId="9" fillId="0" borderId="89" xfId="0" applyNumberFormat="1" applyFont="1" applyFill="1" applyBorder="1" applyProtection="1">
      <alignment vertical="center"/>
    </xf>
    <xf numFmtId="177" fontId="12" fillId="0" borderId="81" xfId="0" applyNumberFormat="1" applyFont="1" applyFill="1" applyBorder="1" applyProtection="1">
      <alignment vertical="center"/>
    </xf>
    <xf numFmtId="0" fontId="5" fillId="0" borderId="32" xfId="0" applyFont="1" applyBorder="1" applyAlignment="1" applyProtection="1">
      <alignment vertical="center"/>
      <protection locked="0"/>
    </xf>
    <xf numFmtId="0" fontId="5" fillId="0" borderId="37" xfId="0" applyFont="1" applyBorder="1" applyAlignment="1" applyProtection="1">
      <alignment vertical="center"/>
      <protection locked="0"/>
    </xf>
    <xf numFmtId="0" fontId="5" fillId="0" borderId="46" xfId="0" applyFont="1" applyBorder="1" applyAlignment="1" applyProtection="1">
      <alignment vertical="center"/>
      <protection locked="0"/>
    </xf>
    <xf numFmtId="0" fontId="5" fillId="0" borderId="21" xfId="0" applyFont="1" applyBorder="1" applyAlignment="1" applyProtection="1">
      <alignment vertical="center"/>
      <protection locked="0"/>
    </xf>
    <xf numFmtId="0" fontId="5" fillId="0" borderId="141" xfId="0" applyFont="1" applyBorder="1" applyAlignment="1" applyProtection="1">
      <alignment vertical="center"/>
      <protection locked="0"/>
    </xf>
    <xf numFmtId="177" fontId="7" fillId="0" borderId="21" xfId="0" applyNumberFormat="1" applyFont="1" applyFill="1" applyBorder="1" applyProtection="1">
      <alignment vertical="center"/>
    </xf>
    <xf numFmtId="181" fontId="5" fillId="5" borderId="1" xfId="0" applyNumberFormat="1" applyFont="1" applyFill="1" applyBorder="1" applyAlignment="1" applyProtection="1">
      <alignment horizontal="right" vertical="center" wrapText="1"/>
      <protection locked="0"/>
    </xf>
    <xf numFmtId="0" fontId="5" fillId="4" borderId="26" xfId="0" applyFont="1" applyFill="1" applyBorder="1" applyAlignment="1" applyProtection="1">
      <alignment horizontal="center" vertical="center" shrinkToFit="1"/>
      <protection locked="0"/>
    </xf>
    <xf numFmtId="0" fontId="5" fillId="0" borderId="17" xfId="0" applyFont="1" applyFill="1" applyBorder="1" applyAlignment="1" applyProtection="1">
      <alignment vertical="center"/>
      <protection locked="0"/>
    </xf>
    <xf numFmtId="0" fontId="5" fillId="0" borderId="20" xfId="0" applyFont="1" applyFill="1" applyBorder="1" applyAlignment="1" applyProtection="1">
      <alignment vertical="center"/>
      <protection locked="0"/>
    </xf>
    <xf numFmtId="0" fontId="5" fillId="0" borderId="8" xfId="0" applyFont="1" applyBorder="1" applyAlignment="1" applyProtection="1">
      <alignment vertical="center"/>
      <protection locked="0"/>
    </xf>
    <xf numFmtId="176" fontId="20" fillId="2" borderId="96" xfId="0" applyNumberFormat="1" applyFont="1" applyFill="1" applyBorder="1" applyAlignment="1" applyProtection="1">
      <alignment horizontal="right" vertical="center"/>
      <protection locked="0"/>
    </xf>
    <xf numFmtId="0" fontId="8" fillId="0" borderId="33" xfId="0" applyFont="1" applyFill="1" applyBorder="1" applyAlignment="1" applyProtection="1">
      <alignment horizontal="center" vertical="center"/>
      <protection locked="0"/>
    </xf>
    <xf numFmtId="0" fontId="7" fillId="0" borderId="89" xfId="0" applyFont="1" applyBorder="1" applyAlignment="1" applyProtection="1">
      <alignment vertical="center"/>
      <protection locked="0"/>
    </xf>
    <xf numFmtId="0" fontId="7" fillId="0" borderId="88" xfId="0" applyFont="1" applyBorder="1" applyAlignment="1" applyProtection="1">
      <alignment vertical="center"/>
      <protection locked="0"/>
    </xf>
    <xf numFmtId="0" fontId="7" fillId="0" borderId="115" xfId="0" applyFont="1" applyBorder="1" applyAlignment="1" applyProtection="1">
      <alignment vertical="center"/>
      <protection locked="0"/>
    </xf>
    <xf numFmtId="0" fontId="5" fillId="0" borderId="16"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39"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11" fillId="0" borderId="0" xfId="0" applyFont="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7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10"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2"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5" fillId="0" borderId="78" xfId="0" applyFont="1" applyBorder="1" applyAlignment="1" applyProtection="1">
      <alignment horizontal="left" vertical="center"/>
      <protection locked="0"/>
    </xf>
    <xf numFmtId="177" fontId="18" fillId="2" borderId="63" xfId="0" applyNumberFormat="1" applyFont="1" applyFill="1" applyBorder="1" applyAlignment="1" applyProtection="1">
      <alignment horizontal="right" vertical="center"/>
    </xf>
    <xf numFmtId="177" fontId="18" fillId="2" borderId="69" xfId="0" applyNumberFormat="1" applyFont="1" applyFill="1" applyBorder="1" applyAlignment="1" applyProtection="1">
      <alignment horizontal="right" vertical="center"/>
    </xf>
    <xf numFmtId="0" fontId="5" fillId="0" borderId="33" xfId="0" applyFont="1" applyBorder="1" applyAlignment="1" applyProtection="1">
      <alignment vertical="center"/>
      <protection locked="0"/>
    </xf>
    <xf numFmtId="0" fontId="5" fillId="0" borderId="83"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84"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42" xfId="0" applyFont="1" applyBorder="1" applyAlignment="1" applyProtection="1">
      <alignment vertical="center"/>
      <protection locked="0"/>
    </xf>
    <xf numFmtId="0" fontId="5" fillId="0" borderId="0" xfId="0" applyFont="1" applyBorder="1" applyAlignment="1" applyProtection="1">
      <alignment horizontal="left" vertical="top" wrapText="1"/>
      <protection locked="0"/>
    </xf>
    <xf numFmtId="0" fontId="5" fillId="0" borderId="59"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29" xfId="0" applyFont="1" applyBorder="1" applyAlignment="1" applyProtection="1">
      <alignment vertical="center"/>
      <protection locked="0"/>
    </xf>
    <xf numFmtId="0" fontId="5" fillId="0" borderId="24" xfId="0" applyFont="1" applyBorder="1" applyAlignment="1" applyProtection="1">
      <alignment horizontal="left" vertical="center"/>
      <protection locked="0"/>
    </xf>
    <xf numFmtId="0" fontId="5" fillId="0" borderId="102" xfId="0" applyFont="1" applyBorder="1" applyAlignment="1" applyProtection="1">
      <alignment horizontal="left" vertical="center"/>
      <protection locked="0"/>
    </xf>
    <xf numFmtId="0" fontId="5" fillId="0" borderId="28"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0" xfId="0" applyFont="1" applyAlignment="1" applyProtection="1">
      <alignment horizontal="center" vertical="center"/>
      <protection locked="0"/>
    </xf>
    <xf numFmtId="176" fontId="5" fillId="0" borderId="25" xfId="0" applyNumberFormat="1" applyFont="1" applyFill="1" applyBorder="1" applyAlignment="1" applyProtection="1">
      <alignment horizontal="center" vertical="center" wrapText="1"/>
    </xf>
    <xf numFmtId="176" fontId="5" fillId="0" borderId="22" xfId="0" applyNumberFormat="1" applyFont="1" applyFill="1" applyBorder="1" applyAlignment="1" applyProtection="1">
      <alignment horizontal="center" vertical="center" wrapText="1"/>
    </xf>
    <xf numFmtId="0" fontId="5" fillId="0" borderId="34" xfId="0" applyFont="1" applyBorder="1" applyAlignment="1" applyProtection="1">
      <alignment horizontal="left" vertical="center"/>
      <protection locked="0"/>
    </xf>
    <xf numFmtId="0" fontId="5" fillId="0" borderId="80" xfId="0" applyFont="1" applyBorder="1" applyAlignment="1" applyProtection="1">
      <alignment horizontal="center" vertical="center"/>
      <protection locked="0"/>
    </xf>
    <xf numFmtId="0" fontId="5" fillId="0" borderId="82" xfId="0" applyFont="1" applyBorder="1" applyAlignment="1" applyProtection="1">
      <alignment horizontal="center" vertical="center"/>
      <protection locked="0"/>
    </xf>
    <xf numFmtId="0" fontId="5" fillId="0" borderId="98" xfId="0" applyFont="1" applyBorder="1" applyAlignment="1" applyProtection="1">
      <alignment horizontal="center" vertical="center"/>
      <protection locked="0"/>
    </xf>
    <xf numFmtId="0" fontId="5" fillId="0" borderId="10"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176" fontId="5" fillId="0" borderId="28" xfId="0" applyNumberFormat="1" applyFont="1" applyFill="1" applyBorder="1" applyAlignment="1" applyProtection="1">
      <alignment horizontal="center" vertical="center" wrapText="1"/>
    </xf>
    <xf numFmtId="176" fontId="5" fillId="0" borderId="21" xfId="0" applyNumberFormat="1" applyFont="1" applyFill="1" applyBorder="1" applyAlignment="1" applyProtection="1">
      <alignment horizontal="center" vertical="center" wrapText="1"/>
    </xf>
    <xf numFmtId="0" fontId="5" fillId="0" borderId="19" xfId="0" applyFont="1" applyBorder="1" applyAlignment="1" applyProtection="1">
      <alignment horizontal="left" vertical="center"/>
      <protection locked="0"/>
    </xf>
    <xf numFmtId="0" fontId="5" fillId="0" borderId="26"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5" fillId="0" borderId="37" xfId="0" applyFont="1" applyBorder="1" applyAlignment="1" applyProtection="1">
      <alignment horizontal="center" vertical="center" wrapText="1"/>
    </xf>
    <xf numFmtId="0" fontId="5" fillId="0" borderId="16" xfId="0" applyFont="1" applyFill="1" applyBorder="1" applyAlignment="1" applyProtection="1">
      <alignment horizontal="left" vertical="center" wrapText="1"/>
      <protection locked="0"/>
    </xf>
    <xf numFmtId="0" fontId="5" fillId="0" borderId="18"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center"/>
      <protection locked="0"/>
    </xf>
    <xf numFmtId="0" fontId="5" fillId="0" borderId="89" xfId="0" applyFont="1" applyBorder="1" applyAlignment="1" applyProtection="1">
      <alignment horizontal="center" vertical="center" wrapText="1"/>
    </xf>
    <xf numFmtId="0" fontId="5" fillId="0" borderId="81" xfId="0" applyFont="1" applyBorder="1" applyAlignment="1" applyProtection="1">
      <alignment horizontal="center" vertical="center" wrapText="1"/>
    </xf>
    <xf numFmtId="176" fontId="5" fillId="0" borderId="10" xfId="0" applyNumberFormat="1" applyFont="1" applyBorder="1" applyAlignment="1" applyProtection="1">
      <alignment horizontal="center" vertical="center"/>
      <protection locked="0"/>
    </xf>
    <xf numFmtId="176" fontId="5" fillId="0" borderId="13" xfId="0" applyNumberFormat="1" applyFont="1" applyBorder="1" applyAlignment="1" applyProtection="1">
      <alignment horizontal="center" vertical="center"/>
      <protection locked="0"/>
    </xf>
    <xf numFmtId="176" fontId="5" fillId="0" borderId="9" xfId="0" applyNumberFormat="1" applyFont="1" applyBorder="1" applyAlignment="1" applyProtection="1">
      <alignment horizontal="center" vertical="center"/>
      <protection locked="0"/>
    </xf>
    <xf numFmtId="176" fontId="5" fillId="0" borderId="21" xfId="0" applyNumberFormat="1" applyFont="1" applyFill="1" applyBorder="1" applyAlignment="1" applyProtection="1">
      <alignment horizontal="center" vertical="center"/>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protection locked="0"/>
    </xf>
    <xf numFmtId="0" fontId="8" fillId="0" borderId="16"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176" fontId="5" fillId="0" borderId="22" xfId="0" applyNumberFormat="1" applyFont="1" applyFill="1" applyBorder="1" applyAlignment="1" applyProtection="1">
      <alignment horizontal="center" vertical="center"/>
    </xf>
    <xf numFmtId="0" fontId="5" fillId="0" borderId="29"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5" fillId="0" borderId="83" xfId="0" applyFont="1" applyBorder="1" applyAlignment="1" applyProtection="1">
      <alignment horizontal="left" vertical="center" wrapText="1"/>
      <protection locked="0"/>
    </xf>
    <xf numFmtId="0" fontId="5" fillId="0" borderId="92" xfId="0" applyFont="1" applyBorder="1" applyAlignment="1" applyProtection="1">
      <alignment horizontal="left" vertical="center"/>
      <protection locked="0"/>
    </xf>
    <xf numFmtId="0" fontId="5" fillId="0" borderId="93"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84" xfId="0" applyFont="1" applyBorder="1" applyAlignment="1" applyProtection="1">
      <alignment horizontal="left" vertical="center"/>
      <protection locked="0"/>
    </xf>
    <xf numFmtId="0" fontId="5" fillId="0" borderId="83"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8" xfId="0" applyFont="1" applyBorder="1" applyAlignment="1" applyProtection="1">
      <alignment horizontal="left" vertical="center"/>
      <protection locked="0"/>
    </xf>
    <xf numFmtId="0" fontId="5" fillId="0" borderId="49"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42"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5" fillId="0" borderId="111" xfId="0" applyFont="1" applyBorder="1" applyAlignment="1" applyProtection="1">
      <alignment horizontal="left" vertical="center"/>
      <protection locked="0"/>
    </xf>
    <xf numFmtId="0" fontId="5" fillId="0" borderId="38" xfId="0" applyFont="1" applyBorder="1" applyAlignment="1" applyProtection="1">
      <alignment horizontal="left" vertical="center" wrapText="1"/>
      <protection locked="0"/>
    </xf>
    <xf numFmtId="0" fontId="5" fillId="0" borderId="43" xfId="0" applyFont="1" applyBorder="1" applyAlignment="1" applyProtection="1">
      <alignment horizontal="left" vertical="center" wrapText="1"/>
      <protection locked="0"/>
    </xf>
    <xf numFmtId="176" fontId="5" fillId="0" borderId="25" xfId="0" applyNumberFormat="1" applyFont="1" applyFill="1" applyBorder="1" applyAlignment="1" applyProtection="1">
      <alignment horizontal="center" vertical="center" wrapText="1"/>
      <protection locked="0"/>
    </xf>
    <xf numFmtId="176" fontId="5" fillId="0" borderId="22"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A0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J113"/>
  <sheetViews>
    <sheetView tabSelected="1" zoomScale="70" zoomScaleNormal="70" workbookViewId="0">
      <selection activeCell="J2" sqref="J2"/>
    </sheetView>
  </sheetViews>
  <sheetFormatPr defaultColWidth="9" defaultRowHeight="18"/>
  <cols>
    <col min="1" max="1" width="2.8984375" style="11" customWidth="1"/>
    <col min="2" max="2" width="3" style="9" customWidth="1"/>
    <col min="3" max="3" width="14.59765625" style="9" customWidth="1"/>
    <col min="4" max="4" width="32.59765625" style="9" customWidth="1"/>
    <col min="5" max="5" width="12" style="9" customWidth="1"/>
    <col min="6" max="6" width="10.19921875" style="9" customWidth="1"/>
    <col min="7" max="7" width="15.5" style="10" customWidth="1"/>
    <col min="8" max="8" width="14.19921875" style="10" customWidth="1"/>
    <col min="9" max="9" width="12.09765625" style="10" customWidth="1"/>
    <col min="10" max="10" width="29" style="10" customWidth="1"/>
    <col min="11" max="16384" width="9" style="11"/>
  </cols>
  <sheetData>
    <row r="1" spans="1:10" s="8" customFormat="1" ht="31.5" customHeight="1">
      <c r="A1" s="404" t="s">
        <v>109</v>
      </c>
      <c r="B1" s="404"/>
      <c r="C1" s="404"/>
      <c r="D1" s="404"/>
      <c r="E1" s="404"/>
      <c r="F1" s="404"/>
      <c r="G1" s="404"/>
      <c r="H1" s="404"/>
      <c r="I1" s="7"/>
      <c r="J1" s="7"/>
    </row>
    <row r="2" spans="1:10" ht="19.5" customHeight="1" thickBot="1">
      <c r="A2" s="9"/>
    </row>
    <row r="3" spans="1:10" ht="19.5" customHeight="1" thickBot="1">
      <c r="A3" s="9"/>
      <c r="C3" s="12" t="s">
        <v>26</v>
      </c>
      <c r="D3" s="241"/>
      <c r="E3" s="413" t="s">
        <v>46</v>
      </c>
      <c r="F3" s="414"/>
      <c r="G3" s="415"/>
      <c r="H3" s="154"/>
      <c r="J3" s="11"/>
    </row>
    <row r="4" spans="1:10" ht="19.5" customHeight="1">
      <c r="A4" s="9"/>
      <c r="C4" s="12"/>
      <c r="D4" s="241"/>
      <c r="E4" s="13"/>
      <c r="F4" s="13"/>
      <c r="G4" s="13"/>
      <c r="H4" s="13"/>
      <c r="J4" s="11"/>
    </row>
    <row r="5" spans="1:10" ht="19.5" customHeight="1" thickBot="1">
      <c r="A5" s="14" t="s">
        <v>49</v>
      </c>
      <c r="C5" s="12"/>
      <c r="D5" s="241"/>
      <c r="E5" s="13"/>
      <c r="F5" s="13"/>
      <c r="G5" s="13"/>
      <c r="H5" s="13"/>
      <c r="J5" s="11"/>
    </row>
    <row r="6" spans="1:10" ht="19.5" customHeight="1">
      <c r="A6" s="15"/>
      <c r="B6" s="409"/>
      <c r="C6" s="410"/>
      <c r="D6" s="410"/>
      <c r="E6" s="410"/>
      <c r="F6" s="155" t="s">
        <v>53</v>
      </c>
      <c r="G6" s="13"/>
      <c r="H6" s="13"/>
      <c r="I6" s="13"/>
    </row>
    <row r="7" spans="1:10" ht="19.5" customHeight="1">
      <c r="A7" s="14"/>
      <c r="B7" s="407" t="s">
        <v>50</v>
      </c>
      <c r="C7" s="408"/>
      <c r="D7" s="408"/>
      <c r="E7" s="408"/>
      <c r="F7" s="156">
        <v>20</v>
      </c>
      <c r="G7" s="13"/>
      <c r="H7" s="13"/>
      <c r="I7" s="13"/>
    </row>
    <row r="8" spans="1:10" ht="19.5" customHeight="1">
      <c r="A8" s="14"/>
      <c r="B8" s="405" t="s">
        <v>0</v>
      </c>
      <c r="C8" s="406"/>
      <c r="D8" s="406"/>
      <c r="E8" s="406"/>
      <c r="F8" s="175">
        <f>F9+F10</f>
        <v>20</v>
      </c>
      <c r="G8" s="13"/>
      <c r="H8" s="13"/>
      <c r="I8" s="13"/>
    </row>
    <row r="9" spans="1:10" ht="19.5" customHeight="1">
      <c r="A9" s="14"/>
      <c r="B9" s="100"/>
      <c r="C9" s="411" t="s">
        <v>51</v>
      </c>
      <c r="D9" s="412"/>
      <c r="E9" s="412"/>
      <c r="F9" s="103">
        <v>10</v>
      </c>
      <c r="G9" s="13"/>
      <c r="H9" s="13"/>
      <c r="I9" s="13"/>
    </row>
    <row r="10" spans="1:10" ht="19.5" customHeight="1">
      <c r="A10" s="14"/>
      <c r="B10" s="100"/>
      <c r="C10" s="411" t="s">
        <v>57</v>
      </c>
      <c r="D10" s="412"/>
      <c r="E10" s="412"/>
      <c r="F10" s="103">
        <v>10</v>
      </c>
      <c r="G10" s="13"/>
      <c r="H10" s="13"/>
      <c r="I10" s="13"/>
    </row>
    <row r="11" spans="1:10" ht="19.5" customHeight="1" thickBot="1">
      <c r="A11" s="14"/>
      <c r="B11" s="157"/>
      <c r="C11" s="417" t="s">
        <v>52</v>
      </c>
      <c r="D11" s="418"/>
      <c r="E11" s="418"/>
      <c r="F11" s="106">
        <v>10</v>
      </c>
      <c r="G11" s="13"/>
      <c r="H11" s="13"/>
      <c r="I11" s="13"/>
    </row>
    <row r="12" spans="1:10" ht="22.5" customHeight="1">
      <c r="A12" s="14"/>
      <c r="B12" s="107" t="s">
        <v>73</v>
      </c>
      <c r="C12" s="427" t="s">
        <v>82</v>
      </c>
      <c r="D12" s="427"/>
      <c r="E12" s="427"/>
      <c r="F12" s="427"/>
      <c r="G12" s="427"/>
      <c r="H12" s="13"/>
      <c r="I12" s="13"/>
    </row>
    <row r="13" spans="1:10" ht="22.5" customHeight="1">
      <c r="A13" s="9"/>
      <c r="B13" s="107"/>
      <c r="C13" s="427"/>
      <c r="D13" s="427"/>
      <c r="E13" s="427"/>
      <c r="F13" s="427"/>
      <c r="G13" s="427"/>
      <c r="H13" s="13"/>
      <c r="J13" s="11"/>
    </row>
    <row r="14" spans="1:10" ht="24" customHeight="1">
      <c r="A14" s="22"/>
      <c r="B14" s="45"/>
      <c r="C14" s="40"/>
      <c r="D14" s="40"/>
      <c r="E14" s="40"/>
      <c r="F14" s="46"/>
      <c r="G14" s="47"/>
      <c r="H14" s="48"/>
      <c r="I14" s="46"/>
      <c r="J14" s="11"/>
    </row>
    <row r="15" spans="1:10" ht="19.5" customHeight="1" thickBot="1">
      <c r="A15" s="14" t="s">
        <v>112</v>
      </c>
      <c r="F15" s="10"/>
      <c r="J15" s="11"/>
    </row>
    <row r="16" spans="1:10" ht="33.75" customHeight="1">
      <c r="B16" s="158"/>
      <c r="C16" s="428"/>
      <c r="D16" s="429"/>
      <c r="E16" s="159" t="s">
        <v>25</v>
      </c>
      <c r="F16" s="160" t="s">
        <v>24</v>
      </c>
      <c r="G16" s="176" t="s">
        <v>28</v>
      </c>
      <c r="H16" s="11"/>
      <c r="I16" s="11"/>
      <c r="J16" s="11"/>
    </row>
    <row r="17" spans="1:10" ht="24" customHeight="1">
      <c r="A17" s="22"/>
      <c r="B17" s="161" t="s">
        <v>10</v>
      </c>
      <c r="C17" s="408" t="s">
        <v>11</v>
      </c>
      <c r="D17" s="416"/>
      <c r="E17" s="231"/>
      <c r="F17" s="312"/>
      <c r="G17" s="177">
        <f>G21*1.1</f>
        <v>2.2000000000000002</v>
      </c>
      <c r="H17" s="11"/>
      <c r="I17" s="11"/>
      <c r="J17" s="11"/>
    </row>
    <row r="18" spans="1:10" ht="24" customHeight="1">
      <c r="A18" s="22"/>
      <c r="B18" s="164"/>
      <c r="C18" s="430" t="s">
        <v>56</v>
      </c>
      <c r="D18" s="426"/>
      <c r="E18" s="162"/>
      <c r="F18" s="163"/>
      <c r="G18" s="178">
        <f>ROUNDDOWN($F$9*1/30,1)</f>
        <v>0.3</v>
      </c>
      <c r="H18" s="11"/>
      <c r="I18" s="11"/>
      <c r="J18" s="11"/>
    </row>
    <row r="19" spans="1:10" ht="24" customHeight="1">
      <c r="A19" s="22"/>
      <c r="B19" s="164"/>
      <c r="C19" s="421" t="s">
        <v>55</v>
      </c>
      <c r="D19" s="422"/>
      <c r="E19" s="166" t="s">
        <v>6</v>
      </c>
      <c r="F19" s="315"/>
      <c r="G19" s="419">
        <f>IF($E$19="あり",IF($E$20="あり",ROUNDDOWN(($F$10-$F$11)*1/15,1)+ROUNDDOWN($F$11*1/6,1),ROUNDDOWN($F$10*1/15,1)),IF($E$20="あり",ROUNDDOWN(($F$10-$F$11)*1/20,1)+ROUNDDOWN($F$11*1/6,1),ROUNDDOWN($F$10*1/20,1)))</f>
        <v>1.6</v>
      </c>
      <c r="H19" s="28"/>
      <c r="I19" s="11"/>
      <c r="J19" s="11"/>
    </row>
    <row r="20" spans="1:10" ht="24" customHeight="1" thickBot="1">
      <c r="A20" s="22"/>
      <c r="B20" s="310"/>
      <c r="C20" s="423" t="s">
        <v>54</v>
      </c>
      <c r="D20" s="424"/>
      <c r="E20" s="316" t="s">
        <v>6</v>
      </c>
      <c r="F20" s="317"/>
      <c r="G20" s="420"/>
      <c r="H20" s="28"/>
      <c r="I20" s="11"/>
      <c r="J20" s="11"/>
    </row>
    <row r="21" spans="1:10" ht="24" customHeight="1" thickTop="1">
      <c r="A21" s="22"/>
      <c r="B21" s="311"/>
      <c r="C21" s="431" t="s">
        <v>153</v>
      </c>
      <c r="D21" s="432"/>
      <c r="E21" s="313"/>
      <c r="F21" s="309"/>
      <c r="G21" s="287">
        <f>ROUND(SUM($G$18:$G$20),0)</f>
        <v>2</v>
      </c>
      <c r="H21" s="28"/>
      <c r="I21" s="11"/>
      <c r="J21" s="11"/>
    </row>
    <row r="22" spans="1:10" ht="24" customHeight="1" thickBot="1">
      <c r="A22" s="22"/>
      <c r="B22" s="243" t="s">
        <v>16</v>
      </c>
      <c r="C22" s="400" t="s">
        <v>88</v>
      </c>
      <c r="D22" s="401"/>
      <c r="E22" s="4" t="s">
        <v>6</v>
      </c>
      <c r="F22" s="298"/>
      <c r="G22" s="244">
        <f>IF(E22="あり",0.7,0)</f>
        <v>0.7</v>
      </c>
      <c r="H22" s="28"/>
      <c r="I22" s="11"/>
      <c r="J22" s="11"/>
    </row>
    <row r="23" spans="1:10" ht="24" customHeight="1" thickBot="1">
      <c r="A23" s="22"/>
      <c r="B23" s="243" t="s">
        <v>17</v>
      </c>
      <c r="C23" s="400" t="s">
        <v>1</v>
      </c>
      <c r="D23" s="401"/>
      <c r="E23" s="121" t="s">
        <v>6</v>
      </c>
      <c r="F23" s="1">
        <v>4</v>
      </c>
      <c r="G23" s="244">
        <f>IF(E23="あり",F23*1.1,0)</f>
        <v>4.4000000000000004</v>
      </c>
      <c r="H23" s="11"/>
      <c r="I23" s="11"/>
      <c r="J23" s="11"/>
    </row>
    <row r="24" spans="1:10" ht="24" customHeight="1" thickBot="1">
      <c r="A24" s="22"/>
      <c r="B24" s="161" t="s">
        <v>18</v>
      </c>
      <c r="C24" s="400" t="s">
        <v>2</v>
      </c>
      <c r="D24" s="401"/>
      <c r="E24" s="245" t="s">
        <v>6</v>
      </c>
      <c r="F24" s="165"/>
      <c r="G24" s="247">
        <f>IF(E24="あり",IF(F7&gt;=151,1.3,0.7),0)</f>
        <v>0.7</v>
      </c>
      <c r="H24" s="11"/>
      <c r="I24" s="11"/>
      <c r="J24" s="11"/>
    </row>
    <row r="25" spans="1:10" ht="24" customHeight="1" thickBot="1">
      <c r="A25" s="22"/>
      <c r="B25" s="161" t="s">
        <v>19</v>
      </c>
      <c r="C25" s="425" t="s">
        <v>144</v>
      </c>
      <c r="D25" s="426"/>
      <c r="E25" s="208" t="s">
        <v>6</v>
      </c>
      <c r="F25" s="332" t="s">
        <v>103</v>
      </c>
      <c r="G25" s="244">
        <f>IF(E25="あり",IF(F25="自園調理",IF(F7&gt;=151,2.7,1.8),IF(F25="外部搬入",IF(F7&gt;=151,0.5,0.3),0)),0)</f>
        <v>1.8</v>
      </c>
      <c r="H25" s="11"/>
      <c r="I25" s="11"/>
      <c r="J25" s="11"/>
    </row>
    <row r="26" spans="1:10" ht="24" customHeight="1" thickBot="1">
      <c r="A26" s="22"/>
      <c r="B26" s="243" t="s">
        <v>20</v>
      </c>
      <c r="C26" s="400" t="s">
        <v>3</v>
      </c>
      <c r="D26" s="401"/>
      <c r="E26" s="4" t="s">
        <v>6</v>
      </c>
      <c r="F26" s="165"/>
      <c r="G26" s="244">
        <f>IF(E26="あり",0.8,0)</f>
        <v>0.8</v>
      </c>
      <c r="H26" s="11"/>
      <c r="I26" s="11"/>
      <c r="J26" s="11"/>
    </row>
    <row r="27" spans="1:10" ht="24" customHeight="1" thickBot="1">
      <c r="A27" s="22"/>
      <c r="B27" s="243" t="s">
        <v>106</v>
      </c>
      <c r="C27" s="408" t="s">
        <v>107</v>
      </c>
      <c r="D27" s="416"/>
      <c r="E27" s="295" t="s">
        <v>6</v>
      </c>
      <c r="F27" s="297" t="s">
        <v>135</v>
      </c>
      <c r="G27" s="244">
        <f>IF(E27="あり",IF(F27="A",0.3,IF(F27="B",0.2,0)),0)</f>
        <v>0.3</v>
      </c>
      <c r="H27" s="11"/>
      <c r="I27" s="11"/>
      <c r="J27" s="11"/>
    </row>
    <row r="28" spans="1:10" ht="24" customHeight="1">
      <c r="A28" s="22"/>
      <c r="B28" s="243" t="s">
        <v>90</v>
      </c>
      <c r="C28" s="400" t="s">
        <v>32</v>
      </c>
      <c r="D28" s="401"/>
      <c r="E28" s="4" t="s">
        <v>6</v>
      </c>
      <c r="F28" s="331"/>
      <c r="G28" s="244">
        <f>IF(E28="あり",0.7,0)</f>
        <v>0.7</v>
      </c>
      <c r="H28" s="11"/>
      <c r="I28" s="11"/>
      <c r="J28" s="11"/>
    </row>
    <row r="29" spans="1:10" ht="24" customHeight="1">
      <c r="A29" s="22"/>
      <c r="B29" s="243" t="s">
        <v>77</v>
      </c>
      <c r="C29" s="400" t="s">
        <v>4</v>
      </c>
      <c r="D29" s="401"/>
      <c r="E29" s="4" t="s">
        <v>6</v>
      </c>
      <c r="F29" s="167"/>
      <c r="G29" s="244">
        <f>IF(E29="あり",0.6,0)</f>
        <v>0.6</v>
      </c>
      <c r="H29" s="11"/>
      <c r="I29" s="11"/>
      <c r="J29" s="11"/>
    </row>
    <row r="30" spans="1:10" ht="24" customHeight="1">
      <c r="A30" s="22"/>
      <c r="B30" s="248" t="s">
        <v>105</v>
      </c>
      <c r="C30" s="400" t="s">
        <v>35</v>
      </c>
      <c r="D30" s="401"/>
      <c r="E30" s="4" t="s">
        <v>6</v>
      </c>
      <c r="F30" s="167"/>
      <c r="G30" s="244">
        <f>IF(E30="あり",0.6,0)</f>
        <v>0.6</v>
      </c>
      <c r="H30" s="11"/>
      <c r="I30" s="11"/>
      <c r="J30" s="11"/>
    </row>
    <row r="31" spans="1:10" ht="24" customHeight="1" thickBot="1">
      <c r="A31" s="22"/>
      <c r="B31" s="248" t="s">
        <v>87</v>
      </c>
      <c r="C31" s="400" t="s">
        <v>95</v>
      </c>
      <c r="D31" s="401"/>
      <c r="E31" s="4" t="s">
        <v>6</v>
      </c>
      <c r="F31" s="246"/>
      <c r="G31" s="244">
        <f>IF(E31="あり",0.5,0)</f>
        <v>0.5</v>
      </c>
      <c r="H31" s="11"/>
      <c r="I31" s="11"/>
      <c r="J31" s="11"/>
    </row>
    <row r="32" spans="1:10" ht="24" customHeight="1" thickBot="1">
      <c r="A32" s="22"/>
      <c r="B32" s="168" t="s">
        <v>146</v>
      </c>
      <c r="C32" s="402" t="s">
        <v>5</v>
      </c>
      <c r="D32" s="403"/>
      <c r="E32" s="299" t="s">
        <v>47</v>
      </c>
      <c r="F32" s="123">
        <v>3</v>
      </c>
      <c r="G32" s="179">
        <f>IF(E32="満たさない",-F32*1.1,0)</f>
        <v>-3.3000000000000003</v>
      </c>
      <c r="H32" s="11"/>
      <c r="I32" s="11"/>
      <c r="J32" s="11"/>
    </row>
    <row r="33" spans="1:10" ht="24" customHeight="1" thickBot="1">
      <c r="A33" s="22"/>
      <c r="B33" s="397" t="s">
        <v>101</v>
      </c>
      <c r="C33" s="398"/>
      <c r="D33" s="399"/>
      <c r="E33" s="169"/>
      <c r="F33" s="169"/>
      <c r="G33" s="180">
        <f>IF(F7&lt;=35,2.4,IF(F7&lt;=300,3.5,2.4))</f>
        <v>2.4</v>
      </c>
      <c r="H33" s="11"/>
      <c r="I33" s="11"/>
      <c r="J33" s="11"/>
    </row>
    <row r="34" spans="1:10" ht="24" customHeight="1" thickTop="1" thickBot="1">
      <c r="A34" s="22"/>
      <c r="B34" s="170" t="s">
        <v>9</v>
      </c>
      <c r="C34" s="171"/>
      <c r="D34" s="171"/>
      <c r="E34" s="171"/>
      <c r="F34" s="126"/>
      <c r="G34" s="181">
        <f>SUM(G17,G22:G33)</f>
        <v>12.4</v>
      </c>
      <c r="H34" s="11"/>
      <c r="I34" s="11"/>
      <c r="J34" s="11"/>
    </row>
    <row r="35" spans="1:10" ht="24" customHeight="1" thickBot="1">
      <c r="A35" s="22"/>
      <c r="B35" s="42" t="s">
        <v>108</v>
      </c>
      <c r="C35" s="43"/>
      <c r="D35" s="43"/>
      <c r="E35" s="43"/>
      <c r="F35" s="172"/>
      <c r="G35" s="251">
        <f>ROUND(G34,0)</f>
        <v>12</v>
      </c>
      <c r="H35" s="46"/>
      <c r="I35" s="11"/>
      <c r="J35" s="11"/>
    </row>
    <row r="36" spans="1:10" ht="24" customHeight="1">
      <c r="A36" s="22"/>
      <c r="B36" s="256"/>
      <c r="C36" s="256"/>
      <c r="D36" s="256"/>
      <c r="E36" s="256"/>
      <c r="F36" s="256"/>
      <c r="G36" s="46"/>
      <c r="H36" s="46"/>
      <c r="I36" s="11"/>
      <c r="J36" s="11"/>
    </row>
    <row r="37" spans="1:10" ht="27" customHeight="1" thickBot="1">
      <c r="A37" s="15" t="s">
        <v>48</v>
      </c>
      <c r="B37" s="40"/>
      <c r="C37" s="40"/>
      <c r="D37" s="40"/>
      <c r="E37" s="40"/>
      <c r="F37" s="46"/>
      <c r="G37" s="46"/>
      <c r="H37" s="46"/>
      <c r="I37" s="46"/>
      <c r="J37" s="11"/>
    </row>
    <row r="38" spans="1:10" ht="21" customHeight="1" thickBot="1">
      <c r="B38" s="50"/>
      <c r="C38" s="250">
        <v>11560</v>
      </c>
      <c r="D38" s="49" t="s">
        <v>104</v>
      </c>
      <c r="E38" s="49"/>
      <c r="F38" s="174"/>
      <c r="G38" s="70">
        <f>C38*G35</f>
        <v>138720</v>
      </c>
      <c r="H38" s="46"/>
      <c r="I38" s="11"/>
      <c r="J38" s="11"/>
    </row>
    <row r="39" spans="1:10" ht="33.75" customHeight="1">
      <c r="B39" s="40"/>
      <c r="C39" s="40"/>
      <c r="D39" s="40"/>
      <c r="E39" s="40"/>
      <c r="F39" s="40"/>
      <c r="G39" s="46"/>
      <c r="H39" s="46"/>
      <c r="I39" s="46"/>
      <c r="J39" s="46"/>
    </row>
    <row r="40" spans="1:10" ht="33.75" customHeight="1">
      <c r="B40" s="40"/>
      <c r="C40" s="40"/>
      <c r="D40" s="40"/>
      <c r="E40" s="40"/>
      <c r="F40" s="40"/>
      <c r="G40" s="46"/>
      <c r="H40" s="46"/>
      <c r="I40" s="46"/>
      <c r="J40" s="46"/>
    </row>
    <row r="41" spans="1:10" ht="33.75" customHeight="1">
      <c r="B41" s="40"/>
      <c r="C41" s="40"/>
      <c r="D41" s="40"/>
      <c r="E41" s="40"/>
      <c r="F41" s="40"/>
      <c r="G41" s="46"/>
      <c r="H41" s="46"/>
      <c r="I41" s="46"/>
      <c r="J41" s="46"/>
    </row>
    <row r="42" spans="1:10" ht="33.75" customHeight="1"/>
    <row r="43" spans="1:10" ht="33.75" customHeight="1"/>
    <row r="44" spans="1:10" ht="33.75" customHeight="1"/>
    <row r="45" spans="1:10" ht="33.75" customHeight="1"/>
    <row r="46" spans="1:10" ht="33.75" customHeight="1"/>
    <row r="47" spans="1:10" ht="33.75" customHeight="1"/>
    <row r="48" spans="1:10" ht="33.75" customHeight="1"/>
    <row r="49" ht="33.75" customHeight="1"/>
    <row r="50" ht="33.75" customHeight="1"/>
    <row r="51" ht="33.75" customHeight="1"/>
    <row r="52" ht="33.7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sheetData>
  <mergeCells count="28">
    <mergeCell ref="C27:D27"/>
    <mergeCell ref="C10:E10"/>
    <mergeCell ref="C11:E11"/>
    <mergeCell ref="G19:G20"/>
    <mergeCell ref="C19:D19"/>
    <mergeCell ref="C20:D20"/>
    <mergeCell ref="C22:D22"/>
    <mergeCell ref="C23:D23"/>
    <mergeCell ref="C24:D24"/>
    <mergeCell ref="C25:D25"/>
    <mergeCell ref="C26:D26"/>
    <mergeCell ref="C12:G13"/>
    <mergeCell ref="C16:D16"/>
    <mergeCell ref="C17:D17"/>
    <mergeCell ref="C18:D18"/>
    <mergeCell ref="C21:D21"/>
    <mergeCell ref="A1:H1"/>
    <mergeCell ref="B8:E8"/>
    <mergeCell ref="B7:E7"/>
    <mergeCell ref="B6:E6"/>
    <mergeCell ref="C9:E9"/>
    <mergeCell ref="E3:G3"/>
    <mergeCell ref="B33:D33"/>
    <mergeCell ref="C28:D28"/>
    <mergeCell ref="C29:D29"/>
    <mergeCell ref="C30:D30"/>
    <mergeCell ref="C31:D31"/>
    <mergeCell ref="C32:D32"/>
  </mergeCells>
  <phoneticPr fontId="1"/>
  <dataValidations count="4">
    <dataValidation type="list" allowBlank="1" showInputMessage="1" showErrorMessage="1" sqref="E32" xr:uid="{00000000-0002-0000-0000-000000000000}">
      <formula1>"　,満たす,満たさない"</formula1>
    </dataValidation>
    <dataValidation type="list" allowBlank="1" showInputMessage="1" showErrorMessage="1" sqref="E19:E20 E22:E31" xr:uid="{00000000-0002-0000-0000-000001000000}">
      <formula1>"　,あり,なし"</formula1>
    </dataValidation>
    <dataValidation type="list" allowBlank="1" showInputMessage="1" showErrorMessage="1" sqref="F25" xr:uid="{DB1CB489-D91C-4442-A00C-65C77FDFE24A}">
      <formula1>"自園調理,外部搬入"</formula1>
    </dataValidation>
    <dataValidation type="list" allowBlank="1" showInputMessage="1" showErrorMessage="1" sqref="F27" xr:uid="{DEC60102-DC54-41FD-9F12-D92E78D81066}">
      <formula1>"A,B"</formula1>
    </dataValidation>
  </dataValidations>
  <pageMargins left="0.92" right="0.56000000000000005" top="0.75" bottom="0.75" header="0.3" footer="0.3"/>
  <pageSetup paperSize="9" scale="74"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L117"/>
  <sheetViews>
    <sheetView zoomScale="70" zoomScaleNormal="70" workbookViewId="0"/>
  </sheetViews>
  <sheetFormatPr defaultColWidth="9" defaultRowHeight="18"/>
  <cols>
    <col min="1" max="1" width="2.8984375" style="11" customWidth="1"/>
    <col min="2" max="2" width="3" style="9" customWidth="1"/>
    <col min="3" max="3" width="12.09765625" style="9" customWidth="1"/>
    <col min="4" max="4" width="20.59765625" style="9" customWidth="1"/>
    <col min="5" max="5" width="10" style="9" customWidth="1"/>
    <col min="6" max="6" width="9.59765625" style="10" customWidth="1"/>
    <col min="7" max="7" width="12.19921875" style="10" hidden="1" customWidth="1"/>
    <col min="8" max="8" width="13.09765625" style="10" customWidth="1"/>
    <col min="9" max="9" width="10" style="10" customWidth="1"/>
    <col min="10" max="10" width="10" style="11" customWidth="1"/>
    <col min="11" max="11" width="12.59765625" style="11" hidden="1" customWidth="1"/>
    <col min="12" max="12" width="13.09765625" style="11" customWidth="1"/>
    <col min="13" max="16384" width="9" style="11"/>
  </cols>
  <sheetData>
    <row r="1" spans="1:12" s="8" customFormat="1" ht="23.25" customHeight="1">
      <c r="A1" s="6" t="s">
        <v>141</v>
      </c>
      <c r="B1" s="6"/>
      <c r="C1" s="6"/>
      <c r="D1" s="6"/>
      <c r="E1" s="6"/>
      <c r="F1" s="7"/>
      <c r="G1" s="7"/>
      <c r="H1" s="7"/>
      <c r="I1" s="7"/>
    </row>
    <row r="2" spans="1:12" ht="19.5" customHeight="1" thickBot="1">
      <c r="A2" s="9"/>
    </row>
    <row r="3" spans="1:12" ht="19.5" customHeight="1" thickBot="1">
      <c r="A3" s="9"/>
      <c r="C3" s="435" t="s">
        <v>26</v>
      </c>
      <c r="D3" s="435"/>
      <c r="E3" s="413" t="s">
        <v>27</v>
      </c>
      <c r="F3" s="414"/>
      <c r="G3" s="414"/>
      <c r="H3" s="415"/>
    </row>
    <row r="4" spans="1:12" ht="19.5" customHeight="1">
      <c r="A4" s="9"/>
      <c r="E4" s="13"/>
      <c r="F4" s="13"/>
      <c r="G4" s="13"/>
      <c r="H4" s="13"/>
    </row>
    <row r="5" spans="1:12" ht="19.5" customHeight="1" thickBot="1">
      <c r="A5" s="14" t="s">
        <v>49</v>
      </c>
      <c r="E5" s="13"/>
      <c r="F5" s="13"/>
      <c r="G5" s="13"/>
      <c r="H5" s="13"/>
    </row>
    <row r="6" spans="1:12" ht="19.5" customHeight="1" thickBot="1">
      <c r="A6" s="15"/>
      <c r="B6" s="183"/>
      <c r="C6" s="184"/>
      <c r="D6" s="184"/>
      <c r="E6" s="140" t="s">
        <v>79</v>
      </c>
      <c r="F6" s="138" t="s">
        <v>53</v>
      </c>
      <c r="G6" s="13"/>
      <c r="H6" s="13"/>
      <c r="I6" s="138" t="s">
        <v>53</v>
      </c>
    </row>
    <row r="7" spans="1:12" ht="37.5" customHeight="1" thickBot="1">
      <c r="A7" s="15"/>
      <c r="B7" s="407" t="s">
        <v>78</v>
      </c>
      <c r="C7" s="408"/>
      <c r="D7" s="408"/>
      <c r="E7" s="185" t="s">
        <v>7</v>
      </c>
      <c r="F7" s="16" t="s">
        <v>81</v>
      </c>
      <c r="G7" s="13"/>
      <c r="H7" s="13"/>
      <c r="I7" s="207" t="str">
        <f>IF(E7="あり","分園分を記入","入力不要")</f>
        <v>入力不要</v>
      </c>
    </row>
    <row r="8" spans="1:12" ht="19.5" customHeight="1" thickBot="1">
      <c r="A8" s="14"/>
      <c r="B8" s="407" t="s">
        <v>50</v>
      </c>
      <c r="C8" s="408"/>
      <c r="D8" s="408"/>
      <c r="E8" s="408"/>
      <c r="F8" s="1">
        <v>100</v>
      </c>
      <c r="G8" s="13"/>
      <c r="H8" s="13"/>
      <c r="I8" s="1">
        <v>20</v>
      </c>
    </row>
    <row r="9" spans="1:12" ht="19.5" customHeight="1" thickBot="1">
      <c r="A9" s="14"/>
      <c r="B9" s="405" t="s">
        <v>60</v>
      </c>
      <c r="C9" s="406"/>
      <c r="D9" s="406"/>
      <c r="E9" s="406"/>
      <c r="F9" s="131">
        <f>F10+F11+F12+F13</f>
        <v>100</v>
      </c>
      <c r="H9" s="13"/>
      <c r="I9" s="131">
        <f>I10+I11+I12+I13</f>
        <v>20</v>
      </c>
    </row>
    <row r="10" spans="1:12" ht="19.5" customHeight="1">
      <c r="A10" s="14"/>
      <c r="B10" s="100"/>
      <c r="C10" s="411" t="s">
        <v>51</v>
      </c>
      <c r="D10" s="412"/>
      <c r="E10" s="101"/>
      <c r="F10" s="102">
        <v>40</v>
      </c>
      <c r="G10" s="13"/>
      <c r="H10" s="13"/>
      <c r="I10" s="102">
        <v>5</v>
      </c>
    </row>
    <row r="11" spans="1:12" ht="19.5" customHeight="1">
      <c r="A11" s="14"/>
      <c r="B11" s="100"/>
      <c r="C11" s="411" t="s">
        <v>58</v>
      </c>
      <c r="D11" s="412"/>
      <c r="E11" s="101"/>
      <c r="F11" s="103">
        <v>30</v>
      </c>
      <c r="G11" s="13"/>
      <c r="H11" s="13"/>
      <c r="I11" s="103">
        <v>5</v>
      </c>
    </row>
    <row r="12" spans="1:12" ht="19.5" customHeight="1">
      <c r="A12" s="14"/>
      <c r="B12" s="100"/>
      <c r="C12" s="412" t="s">
        <v>12</v>
      </c>
      <c r="D12" s="438"/>
      <c r="E12" s="101"/>
      <c r="F12" s="103">
        <v>20</v>
      </c>
      <c r="G12" s="13"/>
      <c r="H12" s="13"/>
      <c r="I12" s="103">
        <v>5</v>
      </c>
    </row>
    <row r="13" spans="1:12" ht="19.5" customHeight="1" thickBot="1">
      <c r="A13" s="9"/>
      <c r="B13" s="104"/>
      <c r="C13" s="417" t="s">
        <v>13</v>
      </c>
      <c r="D13" s="418"/>
      <c r="E13" s="105"/>
      <c r="F13" s="106">
        <v>10</v>
      </c>
      <c r="G13" s="13"/>
      <c r="H13" s="13"/>
      <c r="I13" s="106">
        <v>5</v>
      </c>
    </row>
    <row r="14" spans="1:12" ht="42.75" customHeight="1">
      <c r="A14" s="9"/>
      <c r="B14" s="182" t="s">
        <v>73</v>
      </c>
      <c r="C14" s="427" t="s">
        <v>82</v>
      </c>
      <c r="D14" s="427"/>
      <c r="E14" s="427"/>
      <c r="F14" s="427"/>
      <c r="G14" s="427"/>
      <c r="H14" s="427"/>
      <c r="I14" s="427"/>
      <c r="J14" s="427"/>
      <c r="K14" s="427"/>
      <c r="L14" s="427"/>
    </row>
    <row r="15" spans="1:12" ht="19.5" customHeight="1">
      <c r="A15" s="9"/>
      <c r="B15" s="107"/>
      <c r="C15" s="228"/>
      <c r="D15" s="228"/>
      <c r="E15" s="228"/>
      <c r="F15" s="228"/>
      <c r="G15" s="228"/>
      <c r="H15" s="228"/>
    </row>
    <row r="16" spans="1:12" ht="19.5" customHeight="1" thickBot="1">
      <c r="A16" s="14" t="s">
        <v>112</v>
      </c>
    </row>
    <row r="17" spans="1:12" ht="19.5" customHeight="1" thickBot="1">
      <c r="A17" s="14"/>
      <c r="E17" s="439" t="s">
        <v>80</v>
      </c>
      <c r="F17" s="440"/>
      <c r="G17" s="440"/>
      <c r="H17" s="441"/>
      <c r="I17" s="442" t="str">
        <f>IF(E7="あり","分園分","選択不要")</f>
        <v>選択不要</v>
      </c>
      <c r="J17" s="443"/>
      <c r="K17" s="443"/>
      <c r="L17" s="444"/>
    </row>
    <row r="18" spans="1:12" ht="33" customHeight="1">
      <c r="B18" s="19"/>
      <c r="C18" s="108"/>
      <c r="D18" s="108"/>
      <c r="E18" s="209" t="s">
        <v>25</v>
      </c>
      <c r="F18" s="210"/>
      <c r="G18" s="436" t="s">
        <v>28</v>
      </c>
      <c r="H18" s="437"/>
      <c r="I18" s="186" t="s">
        <v>25</v>
      </c>
      <c r="J18" s="187"/>
      <c r="K18" s="445" t="s">
        <v>28</v>
      </c>
      <c r="L18" s="446"/>
    </row>
    <row r="19" spans="1:12" ht="19.5" customHeight="1">
      <c r="A19" s="22"/>
      <c r="B19" s="23" t="s">
        <v>10</v>
      </c>
      <c r="C19" s="108" t="s">
        <v>11</v>
      </c>
      <c r="D19" s="141"/>
      <c r="E19" s="200"/>
      <c r="F19" s="142"/>
      <c r="G19" s="137"/>
      <c r="H19" s="314">
        <f>H25*1.3</f>
        <v>13</v>
      </c>
      <c r="I19" s="322"/>
      <c r="J19" s="323"/>
      <c r="K19" s="192"/>
      <c r="L19" s="314">
        <f>L25*1.3</f>
        <v>0</v>
      </c>
    </row>
    <row r="20" spans="1:12" ht="19.5" customHeight="1">
      <c r="A20" s="22"/>
      <c r="B20" s="26"/>
      <c r="C20" s="113" t="s">
        <v>8</v>
      </c>
      <c r="D20" s="197"/>
      <c r="E20" s="201"/>
      <c r="F20" s="134">
        <f>F10</f>
        <v>40</v>
      </c>
      <c r="G20" s="85">
        <f>F20*1/30</f>
        <v>1.3333333333333333</v>
      </c>
      <c r="H20" s="318">
        <f>ROUNDDOWN(G20,1)</f>
        <v>1.3</v>
      </c>
      <c r="I20" s="114"/>
      <c r="J20" s="134">
        <f>IF(E7="あり",I10,0)</f>
        <v>0</v>
      </c>
      <c r="K20" s="85">
        <f>J20*1/30</f>
        <v>0</v>
      </c>
      <c r="L20" s="318">
        <f>ROUNDDOWN(K20,1)</f>
        <v>0</v>
      </c>
    </row>
    <row r="21" spans="1:12" ht="19.5" customHeight="1">
      <c r="A21" s="22"/>
      <c r="B21" s="26"/>
      <c r="C21" s="110" t="s">
        <v>76</v>
      </c>
      <c r="D21" s="198"/>
      <c r="E21" s="202"/>
      <c r="F21" s="133">
        <f>F11</f>
        <v>30</v>
      </c>
      <c r="G21" s="55">
        <f>IF(E22="なし",F21/20,0)</f>
        <v>0</v>
      </c>
      <c r="H21" s="319">
        <f>ROUNDDOWN(G21,1)</f>
        <v>0</v>
      </c>
      <c r="I21" s="9"/>
      <c r="J21" s="134">
        <f>IF(E7="あり",I11,0)</f>
        <v>0</v>
      </c>
      <c r="K21" s="55" t="str">
        <f>IF(E22="なし",J21/20,"0")</f>
        <v>0</v>
      </c>
      <c r="L21" s="319">
        <f>ROUNDDOWN(K21,1)</f>
        <v>0</v>
      </c>
    </row>
    <row r="22" spans="1:12" ht="19.5" customHeight="1">
      <c r="A22" s="22"/>
      <c r="B22" s="26"/>
      <c r="C22" s="110" t="s">
        <v>69</v>
      </c>
      <c r="D22" s="198"/>
      <c r="E22" s="203" t="s">
        <v>6</v>
      </c>
      <c r="F22" s="395">
        <f>IF($E$7="あり",F11+I11,F11)</f>
        <v>30</v>
      </c>
      <c r="G22" s="55">
        <f>IF(E22="あり",F22/15,0)</f>
        <v>2</v>
      </c>
      <c r="H22" s="319">
        <f>ROUNDDOWN(G22,1)</f>
        <v>2</v>
      </c>
      <c r="I22" s="396" t="s">
        <v>162</v>
      </c>
      <c r="J22" s="112"/>
      <c r="K22" s="136"/>
      <c r="L22" s="356"/>
    </row>
    <row r="23" spans="1:12" ht="19.5" customHeight="1">
      <c r="A23" s="22"/>
      <c r="B23" s="26"/>
      <c r="C23" s="110" t="s">
        <v>12</v>
      </c>
      <c r="D23" s="198"/>
      <c r="E23" s="204"/>
      <c r="F23" s="133">
        <f>F12</f>
        <v>20</v>
      </c>
      <c r="G23" s="55">
        <f>F23*1/6</f>
        <v>3.3333333333333335</v>
      </c>
      <c r="H23" s="319">
        <f>ROUNDDOWN(G23,1)</f>
        <v>3.3</v>
      </c>
      <c r="I23" s="27"/>
      <c r="J23" s="134">
        <f>IF(E7="あり",I12,0)</f>
        <v>0</v>
      </c>
      <c r="K23" s="55">
        <f>J23*1/6</f>
        <v>0</v>
      </c>
      <c r="L23" s="319">
        <f>ROUNDDOWN(K23,1)</f>
        <v>0</v>
      </c>
    </row>
    <row r="24" spans="1:12" ht="19.5" customHeight="1" thickBot="1">
      <c r="A24" s="22"/>
      <c r="B24" s="26"/>
      <c r="C24" s="213" t="s">
        <v>13</v>
      </c>
      <c r="D24" s="199"/>
      <c r="E24" s="190"/>
      <c r="F24" s="135">
        <f>F13</f>
        <v>10</v>
      </c>
      <c r="G24" s="56">
        <f>F24*1/3</f>
        <v>3.3333333333333335</v>
      </c>
      <c r="H24" s="320">
        <f>ROUNDDOWN(G24,1)</f>
        <v>3.3</v>
      </c>
      <c r="I24" s="190"/>
      <c r="J24" s="135">
        <f>IF(E7="あり",I13,0)</f>
        <v>0</v>
      </c>
      <c r="K24" s="56">
        <f>J24*1/3</f>
        <v>0</v>
      </c>
      <c r="L24" s="320">
        <f>ROUNDDOWN(K24,1)</f>
        <v>0</v>
      </c>
    </row>
    <row r="25" spans="1:12" ht="19.5" customHeight="1" thickTop="1">
      <c r="A25" s="22"/>
      <c r="B25" s="26"/>
      <c r="C25" s="115" t="s">
        <v>29</v>
      </c>
      <c r="D25" s="29"/>
      <c r="E25" s="205"/>
      <c r="F25" s="143"/>
      <c r="G25" s="57"/>
      <c r="H25" s="321">
        <f>ROUND(SUM(H20:H24),0)</f>
        <v>10</v>
      </c>
      <c r="J25" s="191"/>
      <c r="K25" s="57"/>
      <c r="L25" s="321">
        <f>ROUND(SUM(L20:L24),0)</f>
        <v>0</v>
      </c>
    </row>
    <row r="26" spans="1:12" ht="19.5" customHeight="1">
      <c r="A26" s="22"/>
      <c r="B26" s="269" t="s">
        <v>16</v>
      </c>
      <c r="C26" s="118" t="s">
        <v>15</v>
      </c>
      <c r="D26" s="263"/>
      <c r="E26" s="262" t="s">
        <v>6</v>
      </c>
      <c r="F26" s="142"/>
      <c r="G26" s="58"/>
      <c r="H26" s="59">
        <f>IF(E26="あり",1.7,0)</f>
        <v>1.7</v>
      </c>
      <c r="I26" s="121" t="s">
        <v>6</v>
      </c>
      <c r="J26" s="142"/>
      <c r="K26" s="58"/>
      <c r="L26" s="59">
        <f>IF(E7="あり",IF(I26="あり",1.7,0),0)</f>
        <v>0</v>
      </c>
    </row>
    <row r="27" spans="1:12" ht="19.5" customHeight="1" thickBot="1">
      <c r="A27" s="22"/>
      <c r="B27" s="269" t="s">
        <v>17</v>
      </c>
      <c r="C27" s="118" t="s">
        <v>14</v>
      </c>
      <c r="D27" s="263"/>
      <c r="E27" s="262" t="s">
        <v>6</v>
      </c>
      <c r="F27" s="142"/>
      <c r="G27" s="264"/>
      <c r="H27" s="59">
        <f>IF(E27="あり",1.2,0)</f>
        <v>1.2</v>
      </c>
      <c r="I27" s="433" t="str">
        <f>IF($E$7="あり","本園分で選択","－")</f>
        <v>－</v>
      </c>
      <c r="J27" s="434"/>
      <c r="K27" s="192"/>
      <c r="L27" s="193"/>
    </row>
    <row r="28" spans="1:12" ht="19.5" customHeight="1" thickBot="1">
      <c r="A28" s="22"/>
      <c r="B28" s="269" t="s">
        <v>18</v>
      </c>
      <c r="C28" s="408" t="s">
        <v>107</v>
      </c>
      <c r="D28" s="447"/>
      <c r="E28" s="295" t="s">
        <v>6</v>
      </c>
      <c r="F28" s="297" t="s">
        <v>135</v>
      </c>
      <c r="G28" s="58"/>
      <c r="H28" s="59">
        <f>IF(E28="あり",IF(F28="A",0.4,IF(F28="B",0.3,0)),0)</f>
        <v>0.4</v>
      </c>
      <c r="I28" s="448" t="str">
        <f t="shared" ref="I28:I35" si="0">IF($E$7="あり","本園分で選択","－")</f>
        <v>－</v>
      </c>
      <c r="J28" s="449"/>
      <c r="K28" s="192"/>
      <c r="L28" s="193"/>
    </row>
    <row r="29" spans="1:12" ht="19.5" customHeight="1" thickBot="1">
      <c r="A29" s="22"/>
      <c r="B29" s="269" t="s">
        <v>19</v>
      </c>
      <c r="C29" s="118" t="s">
        <v>21</v>
      </c>
      <c r="D29" s="263"/>
      <c r="E29" s="261" t="s">
        <v>6</v>
      </c>
      <c r="F29" s="266"/>
      <c r="G29" s="265"/>
      <c r="H29" s="260">
        <f>IF(E29="あり",0.4,0)</f>
        <v>0.4</v>
      </c>
      <c r="I29" s="448" t="str">
        <f t="shared" si="0"/>
        <v>－</v>
      </c>
      <c r="J29" s="449"/>
      <c r="K29" s="192"/>
      <c r="L29" s="193"/>
    </row>
    <row r="30" spans="1:12" ht="33" customHeight="1" thickBot="1">
      <c r="A30" s="22"/>
      <c r="B30" s="269" t="s">
        <v>20</v>
      </c>
      <c r="C30" s="408" t="s">
        <v>22</v>
      </c>
      <c r="D30" s="447"/>
      <c r="E30" s="219" t="s">
        <v>6</v>
      </c>
      <c r="F30" s="277" t="s">
        <v>121</v>
      </c>
      <c r="G30" s="259">
        <f>VLOOKUP(F30,$C$44:$D$57,2,FALSE)</f>
        <v>0.5</v>
      </c>
      <c r="H30" s="59">
        <f>IF(E30="あり",G30,0)</f>
        <v>0.5</v>
      </c>
      <c r="I30" s="433" t="str">
        <f t="shared" si="0"/>
        <v>－</v>
      </c>
      <c r="J30" s="434"/>
      <c r="K30" s="192"/>
      <c r="L30" s="193"/>
    </row>
    <row r="31" spans="1:12" ht="19.5" customHeight="1" thickBot="1">
      <c r="A31" s="22"/>
      <c r="B31" s="270" t="s">
        <v>89</v>
      </c>
      <c r="C31" s="408" t="s">
        <v>116</v>
      </c>
      <c r="D31" s="447"/>
      <c r="E31" s="206" t="s">
        <v>6</v>
      </c>
      <c r="F31" s="267"/>
      <c r="G31" s="278"/>
      <c r="H31" s="260">
        <f>IF(E31="あり",2.7,0)</f>
        <v>2.7</v>
      </c>
      <c r="I31" s="448" t="str">
        <f>IF($E$7="あり","本園分で選択","－")</f>
        <v>－</v>
      </c>
      <c r="J31" s="449"/>
      <c r="K31" s="192"/>
      <c r="L31" s="193"/>
    </row>
    <row r="32" spans="1:12" ht="19.5" customHeight="1" thickBot="1">
      <c r="A32" s="22"/>
      <c r="B32" s="270" t="s">
        <v>90</v>
      </c>
      <c r="C32" s="118" t="s">
        <v>23</v>
      </c>
      <c r="D32" s="141"/>
      <c r="E32" s="219" t="s">
        <v>6</v>
      </c>
      <c r="F32" s="1">
        <v>1</v>
      </c>
      <c r="G32" s="264"/>
      <c r="H32" s="59">
        <f>IF(E32="あり",F32*1.3,0)</f>
        <v>1.3</v>
      </c>
      <c r="I32" s="433" t="str">
        <f t="shared" si="0"/>
        <v>－</v>
      </c>
      <c r="J32" s="434"/>
      <c r="K32" s="192"/>
      <c r="L32" s="193"/>
    </row>
    <row r="33" spans="1:12" ht="19.5" customHeight="1">
      <c r="A33" s="22"/>
      <c r="B33" s="270" t="s">
        <v>77</v>
      </c>
      <c r="C33" s="408" t="s">
        <v>95</v>
      </c>
      <c r="D33" s="447"/>
      <c r="E33" s="206" t="s">
        <v>6</v>
      </c>
      <c r="F33" s="268"/>
      <c r="G33" s="58"/>
      <c r="H33" s="59">
        <f>IF(E33="あり",0.6,0)</f>
        <v>0.6</v>
      </c>
      <c r="I33" s="448" t="str">
        <f t="shared" si="0"/>
        <v>－</v>
      </c>
      <c r="J33" s="449"/>
      <c r="K33" s="237"/>
      <c r="L33" s="238"/>
    </row>
    <row r="34" spans="1:12" ht="19.5" customHeight="1">
      <c r="A34" s="22"/>
      <c r="B34" s="270" t="s">
        <v>105</v>
      </c>
      <c r="C34" s="407" t="s">
        <v>136</v>
      </c>
      <c r="D34" s="447"/>
      <c r="E34" s="448" t="str">
        <f>IF($E$7="あり","分園分で選択","－")</f>
        <v>－</v>
      </c>
      <c r="F34" s="449"/>
      <c r="G34" s="283"/>
      <c r="H34" s="280"/>
      <c r="I34" s="271"/>
      <c r="J34" s="284">
        <f>IF(I8&lt;40,-1.3,IF(I8&gt;=151,-3.8,-2.6))</f>
        <v>-1.3</v>
      </c>
      <c r="K34" s="192"/>
      <c r="L34" s="330">
        <f>IF(E7="あり",J34,0)</f>
        <v>0</v>
      </c>
    </row>
    <row r="35" spans="1:12" ht="19.5" customHeight="1">
      <c r="A35" s="22"/>
      <c r="B35" s="270" t="s">
        <v>87</v>
      </c>
      <c r="C35" s="407" t="s">
        <v>137</v>
      </c>
      <c r="D35" s="447"/>
      <c r="E35" s="206" t="s">
        <v>74</v>
      </c>
      <c r="F35" s="239"/>
      <c r="G35" s="58"/>
      <c r="H35" s="60">
        <f>IF(E35="該当",-1,0)</f>
        <v>-1</v>
      </c>
      <c r="I35" s="448" t="str">
        <f t="shared" si="0"/>
        <v>－</v>
      </c>
      <c r="J35" s="449"/>
      <c r="K35" s="192"/>
      <c r="L35" s="193"/>
    </row>
    <row r="36" spans="1:12" ht="19.5" customHeight="1" thickBot="1">
      <c r="A36" s="22"/>
      <c r="B36" s="144" t="s">
        <v>59</v>
      </c>
      <c r="C36" s="145"/>
      <c r="D36" s="145"/>
      <c r="E36" s="275"/>
      <c r="F36" s="146"/>
      <c r="G36" s="151"/>
      <c r="H36" s="152">
        <f>IF(F8&lt;=30,4.5,IF(F8&lt;=40,4.2,IF(F8&lt;=90,5.4,IF(F8&lt;=150,5.1,6.3))))</f>
        <v>5.0999999999999996</v>
      </c>
      <c r="I36" s="272"/>
      <c r="J36" s="273"/>
      <c r="K36" s="274"/>
      <c r="L36" s="152">
        <f>IF(E7="あり",IF(I8&lt;=30,4.5,IF(I8&lt;=40,4.2,IF(I8&lt;=90,5.4,IF(I8&lt;=150,5.1,6.3)))),0)</f>
        <v>0</v>
      </c>
    </row>
    <row r="37" spans="1:12" ht="19.5" customHeight="1" thickTop="1" thickBot="1">
      <c r="A37" s="22"/>
      <c r="B37" s="39" t="s">
        <v>9</v>
      </c>
      <c r="C37" s="45"/>
      <c r="D37" s="45"/>
      <c r="E37" s="276"/>
      <c r="F37" s="147"/>
      <c r="G37" s="63"/>
      <c r="H37" s="64">
        <f>SUM(H35:H36,H19,H26:H33)</f>
        <v>25.9</v>
      </c>
      <c r="J37" s="189"/>
      <c r="K37" s="188"/>
      <c r="L37" s="64">
        <f>SUM(L19,L26,L34,L36)</f>
        <v>0</v>
      </c>
    </row>
    <row r="38" spans="1:12" ht="19.5" customHeight="1" thickBot="1">
      <c r="A38" s="22"/>
      <c r="B38" s="42" t="s">
        <v>108</v>
      </c>
      <c r="C38" s="148"/>
      <c r="D38" s="148"/>
      <c r="E38" s="173"/>
      <c r="F38" s="149"/>
      <c r="G38" s="65"/>
      <c r="H38" s="153">
        <f>ROUND(H37,0)</f>
        <v>26</v>
      </c>
      <c r="I38" s="194"/>
      <c r="J38" s="195"/>
      <c r="K38" s="196"/>
      <c r="L38" s="153">
        <f>IF(E7="あり",ROUND(L37,0),0)</f>
        <v>0</v>
      </c>
    </row>
    <row r="39" spans="1:12" ht="19.5" customHeight="1">
      <c r="A39" s="22"/>
      <c r="B39" s="40"/>
      <c r="C39" s="40"/>
      <c r="D39" s="40"/>
      <c r="E39" s="40"/>
      <c r="F39" s="46"/>
      <c r="G39" s="46"/>
      <c r="H39" s="51"/>
      <c r="I39" s="46"/>
    </row>
    <row r="40" spans="1:12" ht="19.5" customHeight="1" thickBot="1">
      <c r="A40" s="15" t="s">
        <v>110</v>
      </c>
      <c r="B40" s="40"/>
      <c r="C40" s="40"/>
      <c r="D40" s="40"/>
      <c r="E40" s="40"/>
      <c r="F40" s="46"/>
      <c r="G40" s="46"/>
      <c r="H40" s="46"/>
      <c r="I40" s="46"/>
    </row>
    <row r="41" spans="1:12" ht="19.5" customHeight="1" thickBot="1">
      <c r="B41" s="50"/>
      <c r="C41" s="52">
        <v>11000</v>
      </c>
      <c r="D41" s="49" t="s">
        <v>111</v>
      </c>
      <c r="E41" s="43"/>
      <c r="F41" s="150"/>
      <c r="G41" s="79"/>
      <c r="H41" s="70">
        <f>C41*(H38+L38)</f>
        <v>286000</v>
      </c>
      <c r="I41" s="46"/>
    </row>
    <row r="42" spans="1:12" ht="19.5" customHeight="1">
      <c r="B42" s="40"/>
      <c r="C42" s="40"/>
      <c r="D42" s="40"/>
      <c r="E42" s="40"/>
      <c r="F42" s="46"/>
      <c r="G42" s="46"/>
      <c r="H42" s="46"/>
      <c r="I42" s="46"/>
    </row>
    <row r="43" spans="1:12" hidden="1">
      <c r="B43" s="40"/>
      <c r="C43" s="11" t="s">
        <v>140</v>
      </c>
      <c r="D43" s="11"/>
      <c r="E43" s="40"/>
      <c r="F43" s="46"/>
      <c r="G43" s="46"/>
      <c r="H43" s="46"/>
      <c r="I43" s="46"/>
    </row>
    <row r="44" spans="1:12" hidden="1">
      <c r="B44" s="40"/>
      <c r="C44" s="11" t="s">
        <v>121</v>
      </c>
      <c r="D44" s="11">
        <v>0.5</v>
      </c>
      <c r="E44" s="40"/>
      <c r="F44" s="46"/>
      <c r="G44" s="46"/>
      <c r="H44" s="46"/>
      <c r="I44" s="46"/>
    </row>
    <row r="45" spans="1:12" hidden="1">
      <c r="B45" s="40"/>
      <c r="C45" s="11" t="s">
        <v>122</v>
      </c>
      <c r="D45" s="11">
        <v>0.5</v>
      </c>
      <c r="E45" s="40"/>
      <c r="F45" s="46"/>
      <c r="G45" s="46"/>
      <c r="H45" s="46"/>
      <c r="I45" s="46"/>
    </row>
    <row r="46" spans="1:12" hidden="1">
      <c r="C46" s="11" t="s">
        <v>123</v>
      </c>
      <c r="D46" s="11">
        <v>0.6</v>
      </c>
    </row>
    <row r="47" spans="1:12" hidden="1">
      <c r="C47" s="11" t="s">
        <v>124</v>
      </c>
      <c r="D47" s="11">
        <v>0.7</v>
      </c>
    </row>
    <row r="48" spans="1:12" hidden="1">
      <c r="C48" s="11" t="s">
        <v>125</v>
      </c>
      <c r="D48" s="11">
        <v>0.8</v>
      </c>
    </row>
    <row r="49" spans="3:4" hidden="1">
      <c r="C49" s="11" t="s">
        <v>126</v>
      </c>
      <c r="D49" s="11">
        <v>0.8</v>
      </c>
    </row>
    <row r="50" spans="3:4" hidden="1">
      <c r="C50" s="11" t="s">
        <v>127</v>
      </c>
      <c r="D50" s="11">
        <v>0.9</v>
      </c>
    </row>
    <row r="51" spans="3:4" hidden="1">
      <c r="C51" s="11" t="s">
        <v>128</v>
      </c>
      <c r="D51" s="11">
        <v>1</v>
      </c>
    </row>
    <row r="52" spans="3:4" hidden="1">
      <c r="C52" s="11" t="s">
        <v>129</v>
      </c>
      <c r="D52" s="11">
        <v>1.1000000000000001</v>
      </c>
    </row>
    <row r="53" spans="3:4" hidden="1">
      <c r="C53" s="11" t="s">
        <v>130</v>
      </c>
      <c r="D53" s="11">
        <v>1.1000000000000001</v>
      </c>
    </row>
    <row r="54" spans="3:4" hidden="1">
      <c r="C54" s="11" t="s">
        <v>131</v>
      </c>
      <c r="D54" s="11">
        <v>1.2</v>
      </c>
    </row>
    <row r="55" spans="3:4" hidden="1">
      <c r="C55" s="11" t="s">
        <v>132</v>
      </c>
      <c r="D55" s="11">
        <v>1.3</v>
      </c>
    </row>
    <row r="56" spans="3:4" hidden="1">
      <c r="C56" s="11" t="s">
        <v>133</v>
      </c>
      <c r="D56" s="11">
        <v>1.4</v>
      </c>
    </row>
    <row r="57" spans="3:4" hidden="1">
      <c r="C57" s="11" t="s">
        <v>134</v>
      </c>
      <c r="D57" s="11">
        <v>1.5</v>
      </c>
    </row>
    <row r="58" spans="3:4" ht="20.25" customHeight="1"/>
    <row r="59" spans="3:4" ht="20.25" customHeight="1"/>
    <row r="60" spans="3:4" ht="20.25" customHeight="1"/>
    <row r="61" spans="3:4" ht="20.25" customHeight="1"/>
    <row r="62" spans="3:4" ht="20.25" customHeight="1"/>
    <row r="63" spans="3:4" ht="20.25" customHeight="1"/>
    <row r="64" spans="3: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sheetData>
  <mergeCells count="29">
    <mergeCell ref="C35:D35"/>
    <mergeCell ref="I31:J31"/>
    <mergeCell ref="I28:J28"/>
    <mergeCell ref="I35:J35"/>
    <mergeCell ref="I33:J33"/>
    <mergeCell ref="C33:D33"/>
    <mergeCell ref="C31:D31"/>
    <mergeCell ref="E34:F34"/>
    <mergeCell ref="I29:J29"/>
    <mergeCell ref="I30:J30"/>
    <mergeCell ref="C28:D28"/>
    <mergeCell ref="C30:D30"/>
    <mergeCell ref="C34:D34"/>
    <mergeCell ref="B9:E9"/>
    <mergeCell ref="I32:J32"/>
    <mergeCell ref="B8:E8"/>
    <mergeCell ref="C3:D3"/>
    <mergeCell ref="G18:H18"/>
    <mergeCell ref="C13:D13"/>
    <mergeCell ref="C12:D12"/>
    <mergeCell ref="C11:D11"/>
    <mergeCell ref="C10:D10"/>
    <mergeCell ref="E3:H3"/>
    <mergeCell ref="B7:D7"/>
    <mergeCell ref="E17:H17"/>
    <mergeCell ref="C14:L14"/>
    <mergeCell ref="I17:L17"/>
    <mergeCell ref="K18:L18"/>
    <mergeCell ref="I27:J27"/>
  </mergeCells>
  <phoneticPr fontId="1"/>
  <dataValidations count="5">
    <dataValidation type="list" allowBlank="1" showInputMessage="1" showErrorMessage="1" sqref="I26 E22 E7 E26:E33" xr:uid="{00000000-0002-0000-0100-000000000000}">
      <formula1>"　,あり,なし"</formula1>
    </dataValidation>
    <dataValidation type="list" allowBlank="1" showInputMessage="1" showErrorMessage="1" sqref="E35" xr:uid="{6590014E-90E2-4527-A4FC-3DE87A78035A}">
      <formula1>"　,該当,非該当"</formula1>
    </dataValidation>
    <dataValidation type="list" allowBlank="1" showInputMessage="1" showErrorMessage="1" sqref="F28" xr:uid="{73EDA7F3-AE04-451A-B1BD-47A69A3AF987}">
      <formula1>"　,A,B"</formula1>
    </dataValidation>
    <dataValidation type="list" allowBlank="1" showInputMessage="1" showErrorMessage="1" sqref="F31" xr:uid="{75E4CC8E-BDC2-4EB8-A6C3-98518DFF17BC}">
      <formula1>#REF!</formula1>
    </dataValidation>
    <dataValidation type="list" allowBlank="1" showInputMessage="1" showErrorMessage="1" sqref="F30" xr:uid="{5B285A32-87BA-40DC-879D-304E1732F0F9}">
      <formula1>$C$44:$C$57</formula1>
    </dataValidation>
  </dataValidations>
  <pageMargins left="0.92" right="0.56000000000000005" top="0.75" bottom="0.37" header="0.3" footer="0.3"/>
  <pageSetup paperSize="9" scale="84"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C5AAF-F5AD-4556-97D9-E6F4514C1F45}">
  <sheetPr>
    <tabColor rgb="FF92D050"/>
  </sheetPr>
  <dimension ref="A1:L134"/>
  <sheetViews>
    <sheetView view="pageBreakPreview" zoomScale="70" zoomScaleNormal="100" zoomScaleSheetLayoutView="70" workbookViewId="0"/>
  </sheetViews>
  <sheetFormatPr defaultColWidth="9" defaultRowHeight="18"/>
  <cols>
    <col min="1" max="1" width="2.8984375" style="11" customWidth="1"/>
    <col min="2" max="2" width="3" style="9" customWidth="1"/>
    <col min="3" max="3" width="14.69921875" style="9" customWidth="1"/>
    <col min="4" max="4" width="28.19921875" style="9" customWidth="1"/>
    <col min="5" max="5" width="10" style="10" customWidth="1"/>
    <col min="6" max="6" width="13.09765625" style="10" customWidth="1"/>
    <col min="7" max="7" width="6.5" style="10" hidden="1" customWidth="1"/>
    <col min="8" max="8" width="13.09765625" style="10" customWidth="1"/>
    <col min="9" max="9" width="8.09765625" style="98" customWidth="1"/>
    <col min="10" max="10" width="5.19921875" style="11" bestFit="1" customWidth="1"/>
    <col min="11" max="11" width="6.5" style="11" hidden="1" customWidth="1"/>
    <col min="12" max="12" width="13.09765625" style="11" customWidth="1"/>
    <col min="13" max="16384" width="9" style="11"/>
  </cols>
  <sheetData>
    <row r="1" spans="1:9" s="8" customFormat="1" ht="31.5" customHeight="1" thickBot="1">
      <c r="A1" s="5" t="s">
        <v>142</v>
      </c>
      <c r="B1" s="6"/>
      <c r="C1" s="6"/>
      <c r="D1" s="6"/>
      <c r="E1" s="7"/>
      <c r="F1" s="7"/>
      <c r="G1" s="7"/>
      <c r="H1" s="7"/>
      <c r="I1" s="98"/>
    </row>
    <row r="2" spans="1:9" ht="19.5" customHeight="1" thickBot="1">
      <c r="A2" s="9"/>
      <c r="B2" s="435" t="s">
        <v>26</v>
      </c>
      <c r="C2" s="470"/>
      <c r="D2" s="413" t="s">
        <v>30</v>
      </c>
      <c r="E2" s="414"/>
      <c r="F2" s="414"/>
      <c r="G2" s="414"/>
      <c r="H2" s="415"/>
    </row>
    <row r="3" spans="1:9" ht="19.5" customHeight="1">
      <c r="A3" s="9"/>
      <c r="C3" s="340"/>
      <c r="D3" s="13"/>
      <c r="E3" s="13"/>
      <c r="F3" s="13"/>
      <c r="G3" s="13"/>
    </row>
    <row r="4" spans="1:9" ht="19.5" customHeight="1" thickBot="1">
      <c r="A4" s="14" t="s">
        <v>49</v>
      </c>
      <c r="E4" s="13"/>
      <c r="F4" s="13"/>
      <c r="G4" s="13"/>
    </row>
    <row r="5" spans="1:9" ht="33" customHeight="1" thickBot="1">
      <c r="A5" s="15"/>
      <c r="B5" s="409"/>
      <c r="C5" s="410"/>
      <c r="D5" s="410"/>
      <c r="E5" s="139" t="s">
        <v>25</v>
      </c>
      <c r="F5" s="99" t="s">
        <v>24</v>
      </c>
      <c r="G5" s="13"/>
      <c r="H5" s="99" t="s">
        <v>24</v>
      </c>
    </row>
    <row r="6" spans="1:9" ht="37.5" customHeight="1" thickBot="1">
      <c r="A6" s="15"/>
      <c r="B6" s="407" t="s">
        <v>78</v>
      </c>
      <c r="C6" s="408"/>
      <c r="D6" s="408"/>
      <c r="E6" s="208" t="s">
        <v>7</v>
      </c>
      <c r="F6" s="99" t="s">
        <v>81</v>
      </c>
      <c r="G6" s="13"/>
      <c r="H6" s="207" t="str">
        <f>IF(E6="あり","分園分を記入","入力不要")</f>
        <v>入力不要</v>
      </c>
    </row>
    <row r="7" spans="1:9" ht="19.5" customHeight="1" thickBot="1">
      <c r="A7" s="14"/>
      <c r="B7" s="407" t="s">
        <v>50</v>
      </c>
      <c r="C7" s="408"/>
      <c r="D7" s="408"/>
      <c r="E7" s="408"/>
      <c r="F7" s="130">
        <f>F8+F9</f>
        <v>150</v>
      </c>
      <c r="G7" s="13"/>
      <c r="H7" s="130">
        <f>H8+H9</f>
        <v>90</v>
      </c>
    </row>
    <row r="8" spans="1:9" ht="19.5" customHeight="1" thickBot="1">
      <c r="A8" s="14"/>
      <c r="B8" s="333"/>
      <c r="C8" s="408" t="s">
        <v>36</v>
      </c>
      <c r="D8" s="408"/>
      <c r="E8" s="408"/>
      <c r="F8" s="1">
        <v>100</v>
      </c>
      <c r="G8" s="13"/>
      <c r="H8" s="1">
        <v>50</v>
      </c>
    </row>
    <row r="9" spans="1:9" ht="19.5" customHeight="1" thickBot="1">
      <c r="A9" s="14"/>
      <c r="B9" s="333"/>
      <c r="C9" s="408" t="s">
        <v>37</v>
      </c>
      <c r="D9" s="408"/>
      <c r="E9" s="408"/>
      <c r="F9" s="1">
        <v>50</v>
      </c>
      <c r="G9" s="13"/>
      <c r="H9" s="1">
        <v>40</v>
      </c>
    </row>
    <row r="10" spans="1:9" ht="19.5" customHeight="1">
      <c r="A10" s="14"/>
      <c r="B10" s="405" t="s">
        <v>60</v>
      </c>
      <c r="C10" s="406"/>
      <c r="D10" s="406"/>
      <c r="E10" s="406"/>
      <c r="F10" s="346">
        <f>F11+F15</f>
        <v>125</v>
      </c>
      <c r="G10" s="13"/>
      <c r="H10" s="346">
        <f>H11+H15</f>
        <v>90</v>
      </c>
    </row>
    <row r="11" spans="1:9" ht="19.5" customHeight="1" thickBot="1">
      <c r="A11" s="14"/>
      <c r="B11" s="100"/>
      <c r="C11" s="17" t="s">
        <v>36</v>
      </c>
      <c r="D11" s="17"/>
      <c r="E11" s="17"/>
      <c r="F11" s="347">
        <f>F12+F13</f>
        <v>75</v>
      </c>
      <c r="G11" s="13"/>
      <c r="H11" s="347">
        <f>H12+H13</f>
        <v>50</v>
      </c>
    </row>
    <row r="12" spans="1:9" ht="19.5" customHeight="1">
      <c r="A12" s="14"/>
      <c r="B12" s="100"/>
      <c r="C12" s="412" t="s">
        <v>154</v>
      </c>
      <c r="D12" s="438"/>
      <c r="E12" s="101"/>
      <c r="F12" s="102">
        <v>40</v>
      </c>
      <c r="G12" s="13"/>
      <c r="H12" s="102">
        <v>30</v>
      </c>
    </row>
    <row r="13" spans="1:9" ht="19.5" customHeight="1">
      <c r="A13" s="14"/>
      <c r="B13" s="100"/>
      <c r="C13" s="412" t="s">
        <v>155</v>
      </c>
      <c r="D13" s="438"/>
      <c r="E13" s="101"/>
      <c r="F13" s="103">
        <v>35</v>
      </c>
      <c r="G13" s="13"/>
      <c r="H13" s="103">
        <v>20</v>
      </c>
    </row>
    <row r="14" spans="1:9" ht="19.5" customHeight="1" thickBot="1">
      <c r="A14" s="14"/>
      <c r="B14" s="100"/>
      <c r="C14" s="336" t="s">
        <v>156</v>
      </c>
      <c r="D14" s="341"/>
      <c r="E14" s="101"/>
      <c r="F14" s="103">
        <v>10</v>
      </c>
      <c r="G14" s="13"/>
      <c r="H14" s="103">
        <v>10</v>
      </c>
    </row>
    <row r="15" spans="1:9" ht="19.5" customHeight="1" thickBot="1">
      <c r="A15" s="14"/>
      <c r="B15" s="100"/>
      <c r="C15" s="17" t="s">
        <v>37</v>
      </c>
      <c r="D15" s="17"/>
      <c r="E15" s="17"/>
      <c r="F15" s="131">
        <f>F16+F17+F19+F20</f>
        <v>50</v>
      </c>
      <c r="G15" s="13"/>
      <c r="H15" s="131">
        <f>H16+H17+H19+H20</f>
        <v>40</v>
      </c>
    </row>
    <row r="16" spans="1:9" ht="19.5" customHeight="1">
      <c r="A16" s="14"/>
      <c r="B16" s="100"/>
      <c r="C16" s="411" t="s">
        <v>154</v>
      </c>
      <c r="D16" s="412"/>
      <c r="E16" s="101"/>
      <c r="F16" s="102">
        <v>20</v>
      </c>
      <c r="G16" s="13"/>
      <c r="H16" s="102">
        <v>20</v>
      </c>
    </row>
    <row r="17" spans="1:12" ht="19.5" customHeight="1">
      <c r="A17" s="14"/>
      <c r="B17" s="100"/>
      <c r="C17" s="411" t="s">
        <v>155</v>
      </c>
      <c r="D17" s="412"/>
      <c r="E17" s="101"/>
      <c r="F17" s="103">
        <v>20</v>
      </c>
      <c r="G17" s="13"/>
      <c r="H17" s="103">
        <v>10</v>
      </c>
    </row>
    <row r="18" spans="1:12" ht="19.5" customHeight="1">
      <c r="A18" s="14"/>
      <c r="B18" s="100"/>
      <c r="C18" s="336" t="s">
        <v>156</v>
      </c>
      <c r="D18" s="341"/>
      <c r="E18" s="101"/>
      <c r="F18" s="103">
        <v>5</v>
      </c>
      <c r="G18" s="13"/>
      <c r="H18" s="103">
        <v>5</v>
      </c>
    </row>
    <row r="19" spans="1:12" ht="19.5" customHeight="1">
      <c r="A19" s="14"/>
      <c r="B19" s="100"/>
      <c r="C19" s="412" t="s">
        <v>157</v>
      </c>
      <c r="D19" s="438"/>
      <c r="E19" s="101"/>
      <c r="F19" s="103">
        <v>5</v>
      </c>
      <c r="G19" s="13"/>
      <c r="H19" s="103">
        <v>5</v>
      </c>
    </row>
    <row r="20" spans="1:12" ht="19.5" customHeight="1" thickBot="1">
      <c r="A20" s="9"/>
      <c r="B20" s="104"/>
      <c r="C20" s="417" t="s">
        <v>158</v>
      </c>
      <c r="D20" s="418"/>
      <c r="E20" s="105"/>
      <c r="F20" s="106">
        <v>5</v>
      </c>
      <c r="G20" s="13"/>
      <c r="H20" s="106">
        <v>5</v>
      </c>
    </row>
    <row r="21" spans="1:12" ht="42" customHeight="1">
      <c r="A21" s="9"/>
      <c r="B21" s="228" t="s">
        <v>73</v>
      </c>
      <c r="C21" s="427" t="s">
        <v>82</v>
      </c>
      <c r="D21" s="427"/>
      <c r="E21" s="427"/>
      <c r="F21" s="427"/>
      <c r="G21" s="427"/>
      <c r="H21" s="427"/>
      <c r="I21" s="427"/>
      <c r="J21" s="427"/>
      <c r="K21" s="427"/>
      <c r="L21" s="427"/>
    </row>
    <row r="22" spans="1:12" ht="19.5" customHeight="1">
      <c r="A22" s="9"/>
      <c r="B22" s="107"/>
      <c r="C22" s="229"/>
      <c r="D22" s="229"/>
      <c r="E22" s="229"/>
      <c r="F22" s="229"/>
      <c r="G22" s="229"/>
      <c r="H22" s="229"/>
    </row>
    <row r="23" spans="1:12" ht="19.5" customHeight="1" thickBot="1">
      <c r="A23" s="14" t="s">
        <v>112</v>
      </c>
      <c r="E23" s="9"/>
      <c r="I23" s="10"/>
    </row>
    <row r="24" spans="1:12" ht="19.5" customHeight="1" thickBot="1">
      <c r="A24" s="14"/>
      <c r="E24" s="463" t="s">
        <v>80</v>
      </c>
      <c r="F24" s="464"/>
      <c r="G24" s="464"/>
      <c r="H24" s="465"/>
      <c r="I24" s="463" t="str">
        <f>IF(E7="あり","分園分","選択不要")</f>
        <v>選択不要</v>
      </c>
      <c r="J24" s="464"/>
      <c r="K24" s="464"/>
      <c r="L24" s="465"/>
    </row>
    <row r="25" spans="1:12" ht="31.5" customHeight="1">
      <c r="B25" s="19"/>
      <c r="C25" s="108"/>
      <c r="D25" s="108"/>
      <c r="E25" s="220" t="s">
        <v>25</v>
      </c>
      <c r="F25" s="221" t="s">
        <v>24</v>
      </c>
      <c r="G25" s="445" t="s">
        <v>28</v>
      </c>
      <c r="H25" s="466"/>
      <c r="I25" s="222" t="s">
        <v>25</v>
      </c>
      <c r="J25" s="221" t="s">
        <v>24</v>
      </c>
      <c r="K25" s="445" t="s">
        <v>28</v>
      </c>
      <c r="L25" s="466"/>
    </row>
    <row r="26" spans="1:12" ht="17.25" customHeight="1">
      <c r="A26" s="22"/>
      <c r="B26" s="240" t="s">
        <v>10</v>
      </c>
      <c r="C26" s="71" t="s">
        <v>11</v>
      </c>
      <c r="D26" s="71"/>
      <c r="E26" s="214"/>
      <c r="F26" s="25"/>
      <c r="G26" s="54"/>
      <c r="H26" s="324">
        <f>H31*1.1+H37*1.3</f>
        <v>8.5</v>
      </c>
      <c r="I26" s="24"/>
      <c r="J26" s="25"/>
      <c r="K26" s="54"/>
      <c r="L26" s="324">
        <f>L37*1.3</f>
        <v>0</v>
      </c>
    </row>
    <row r="27" spans="1:12" ht="17.25" customHeight="1">
      <c r="A27" s="22"/>
      <c r="B27" s="467" t="s">
        <v>36</v>
      </c>
      <c r="C27" s="358" t="s">
        <v>8</v>
      </c>
      <c r="D27" s="384"/>
      <c r="E27" s="215"/>
      <c r="F27" s="132">
        <f>IF($E$6="あり",F12+H12,F12)</f>
        <v>40</v>
      </c>
      <c r="G27" s="80">
        <f>F27*1/30</f>
        <v>1.3333333333333333</v>
      </c>
      <c r="H27" s="325">
        <f>ROUNDDOWN(G27,1)</f>
        <v>1.3</v>
      </c>
      <c r="I27" s="450" t="str">
        <f>IF($E$6="あり","本園と合算","－")</f>
        <v>－</v>
      </c>
      <c r="J27" s="451"/>
      <c r="K27" s="344"/>
      <c r="L27" s="343"/>
    </row>
    <row r="28" spans="1:12" ht="17.25" customHeight="1">
      <c r="A28" s="22"/>
      <c r="B28" s="468"/>
      <c r="C28" s="345" t="s">
        <v>67</v>
      </c>
      <c r="D28" s="385"/>
      <c r="E28" s="216"/>
      <c r="F28" s="133">
        <f>IF($E$6="あり",F13+H13,F13)</f>
        <v>35</v>
      </c>
      <c r="G28" s="55">
        <f>IF($E$29="あり",0,IF(E30="あり",0,ROUNDDOWN(F28*1/20,1)))</f>
        <v>1.7</v>
      </c>
      <c r="H28" s="319">
        <f>IF(G28=0,"-",ROUNDDOWN(G28,1))</f>
        <v>1.7</v>
      </c>
      <c r="I28" s="454" t="str">
        <f>IF($E$6="あり","本園と合算","－")</f>
        <v>－</v>
      </c>
      <c r="J28" s="455"/>
      <c r="K28" s="136"/>
      <c r="L28" s="356"/>
    </row>
    <row r="29" spans="1:12" ht="17.25" customHeight="1">
      <c r="A29" s="22"/>
      <c r="B29" s="468"/>
      <c r="C29" s="368" t="s">
        <v>62</v>
      </c>
      <c r="D29" s="384"/>
      <c r="E29" s="369" t="s">
        <v>7</v>
      </c>
      <c r="F29" s="374">
        <f>IF($E$6="あり",F13+H13,F13)</f>
        <v>35</v>
      </c>
      <c r="G29" s="80">
        <f>IF($E$29="あり",IF(E30="あり",ROUNDDOWN(($F$29-F30)*1/15,1)+ROUNDDOWN(F30*1/6,1),ROUNDDOWN(F29*1/15,1)),IF(F30="あり",ROUNDDOWN((F29-F30)*1/20,1)+ROUNDDOWN(F30*1/6,1),0))</f>
        <v>0</v>
      </c>
      <c r="H29" s="325" t="str">
        <f>IF(G29=0,"-",ROUNDDOWN(G29,1))</f>
        <v>-</v>
      </c>
      <c r="I29" s="450" t="str">
        <f>IF($E$6="あり","本園と合算","－")</f>
        <v>－</v>
      </c>
      <c r="J29" s="451"/>
      <c r="K29" s="344"/>
      <c r="L29" s="343"/>
    </row>
    <row r="30" spans="1:12" ht="17.25" customHeight="1" thickBot="1">
      <c r="A30" s="22"/>
      <c r="B30" s="468"/>
      <c r="C30" s="370" t="s">
        <v>63</v>
      </c>
      <c r="D30" s="386"/>
      <c r="E30" s="371" t="s">
        <v>7</v>
      </c>
      <c r="F30" s="375">
        <f>IF($E$6="あり",F14+H14,F14)</f>
        <v>10</v>
      </c>
      <c r="G30" s="372"/>
      <c r="H30" s="373"/>
      <c r="I30" s="452" t="str">
        <f>IF($E$6="あり","本園と合算","－")</f>
        <v>－</v>
      </c>
      <c r="J30" s="453"/>
      <c r="K30" s="372"/>
      <c r="L30" s="373"/>
    </row>
    <row r="31" spans="1:12" ht="17.25" customHeight="1" thickTop="1">
      <c r="A31" s="22"/>
      <c r="B31" s="469"/>
      <c r="C31" s="388" t="s">
        <v>29</v>
      </c>
      <c r="D31" s="387"/>
      <c r="E31" s="367"/>
      <c r="F31" s="31"/>
      <c r="G31" s="57"/>
      <c r="H31" s="321">
        <f>ROUND(SUM(H27:H29),0)</f>
        <v>3</v>
      </c>
      <c r="I31" s="223"/>
      <c r="J31" s="31"/>
      <c r="K31" s="57"/>
      <c r="L31" s="389"/>
    </row>
    <row r="32" spans="1:12" ht="17.25" customHeight="1">
      <c r="A32" s="22"/>
      <c r="B32" s="467" t="s">
        <v>37</v>
      </c>
      <c r="C32" s="358" t="s">
        <v>8</v>
      </c>
      <c r="D32" s="337"/>
      <c r="E32" s="215"/>
      <c r="F32" s="132">
        <f>F16</f>
        <v>20</v>
      </c>
      <c r="G32" s="80">
        <f>F32*1/30</f>
        <v>0.66666666666666663</v>
      </c>
      <c r="H32" s="325">
        <f>ROUNDDOWN(G32,1)</f>
        <v>0.6</v>
      </c>
      <c r="I32" s="109"/>
      <c r="J32" s="357">
        <f>IF(E6="あり",H16,0)</f>
        <v>0</v>
      </c>
      <c r="K32" s="80">
        <f>J32*1/30</f>
        <v>0</v>
      </c>
      <c r="L32" s="325">
        <f>ROUNDDOWN(K32,1)</f>
        <v>0</v>
      </c>
    </row>
    <row r="33" spans="1:12" ht="17.25" customHeight="1">
      <c r="A33" s="22"/>
      <c r="B33" s="468"/>
      <c r="C33" s="345" t="s">
        <v>76</v>
      </c>
      <c r="D33" s="211"/>
      <c r="E33" s="216"/>
      <c r="F33" s="133">
        <f>F17</f>
        <v>20</v>
      </c>
      <c r="G33" s="55">
        <f>IF($E$36="あり",0,ROUNDDOWN(F33*1/20,1))</f>
        <v>1</v>
      </c>
      <c r="H33" s="319">
        <f>IF(G33=0,"-",ROUNDDOWN(G33,1))</f>
        <v>1</v>
      </c>
      <c r="I33" s="111"/>
      <c r="J33" s="133">
        <f>IF(E$6="あり",H17,0)</f>
        <v>0</v>
      </c>
      <c r="K33" s="55">
        <f>IF($E$36="あり",0,ROUNDDOWN(J33*1/20,1))</f>
        <v>0</v>
      </c>
      <c r="L33" s="319" t="str">
        <f>IF(K33=0,"-",ROUNDDOWN(K33,1))</f>
        <v>-</v>
      </c>
    </row>
    <row r="34" spans="1:12" ht="17.25" customHeight="1">
      <c r="A34" s="22"/>
      <c r="B34" s="468"/>
      <c r="C34" s="359" t="s">
        <v>12</v>
      </c>
      <c r="D34" s="212"/>
      <c r="E34" s="201"/>
      <c r="F34" s="134">
        <f>F19</f>
        <v>5</v>
      </c>
      <c r="G34" s="85">
        <f>F34*1/6</f>
        <v>0.83333333333333337</v>
      </c>
      <c r="H34" s="318">
        <f>ROUNDDOWN(G34,1)</f>
        <v>0.8</v>
      </c>
      <c r="I34" s="201"/>
      <c r="J34" s="133">
        <f>IF(E$6="あり",H19,0)</f>
        <v>0</v>
      </c>
      <c r="K34" s="85">
        <f>J34*1/6</f>
        <v>0</v>
      </c>
      <c r="L34" s="318">
        <f>ROUNDDOWN(K34,1)</f>
        <v>0</v>
      </c>
    </row>
    <row r="35" spans="1:12" ht="17.25" customHeight="1">
      <c r="A35" s="22"/>
      <c r="B35" s="468"/>
      <c r="C35" s="360" t="s">
        <v>13</v>
      </c>
      <c r="D35" s="361"/>
      <c r="E35" s="362"/>
      <c r="F35" s="363">
        <f>F20</f>
        <v>5</v>
      </c>
      <c r="G35" s="364">
        <f>F35*1/3</f>
        <v>1.6666666666666667</v>
      </c>
      <c r="H35" s="365">
        <f>ROUNDDOWN(G35,1)</f>
        <v>1.6</v>
      </c>
      <c r="I35" s="362"/>
      <c r="J35" s="366">
        <f>IF(E$6="あり",H20,0)</f>
        <v>0</v>
      </c>
      <c r="K35" s="364">
        <f>J35*1/3</f>
        <v>0</v>
      </c>
      <c r="L35" s="365">
        <f>ROUNDDOWN(K35,1)</f>
        <v>0</v>
      </c>
    </row>
    <row r="36" spans="1:12" ht="17.25" customHeight="1" thickBot="1">
      <c r="A36" s="22"/>
      <c r="B36" s="468"/>
      <c r="C36" s="376" t="s">
        <v>62</v>
      </c>
      <c r="D36" s="377"/>
      <c r="E36" s="378" t="s">
        <v>7</v>
      </c>
      <c r="F36" s="379">
        <f>IF($E$6="あり",F17+H17,F17)</f>
        <v>20</v>
      </c>
      <c r="G36" s="380">
        <f>IF($E$36="あり",ROUNDDOWN($F$36*1/15,1),0)</f>
        <v>0</v>
      </c>
      <c r="H36" s="381" t="str">
        <f>IF(G36=0,"-",ROUNDDOWN(G36,1))</f>
        <v>-</v>
      </c>
      <c r="I36" s="461" t="str">
        <f>IF($E$6="あり","本園と合算","－")</f>
        <v>－</v>
      </c>
      <c r="J36" s="462"/>
      <c r="K36" s="382"/>
      <c r="L36" s="383"/>
    </row>
    <row r="37" spans="1:12" ht="17.25" customHeight="1" thickTop="1">
      <c r="A37" s="22"/>
      <c r="B37" s="469"/>
      <c r="C37" s="388" t="s">
        <v>29</v>
      </c>
      <c r="D37" s="115"/>
      <c r="E37" s="367"/>
      <c r="F37" s="31"/>
      <c r="G37" s="57"/>
      <c r="H37" s="321">
        <f>ROUND(SUM(H32:H36),0)</f>
        <v>4</v>
      </c>
      <c r="I37" s="223"/>
      <c r="J37" s="31"/>
      <c r="K37" s="57"/>
      <c r="L37" s="321">
        <f>ROUND(SUM(L32:L35),0)</f>
        <v>0</v>
      </c>
    </row>
    <row r="38" spans="1:12" ht="17.25" customHeight="1">
      <c r="A38" s="22"/>
      <c r="B38" s="335" t="s">
        <v>91</v>
      </c>
      <c r="C38" s="342" t="s">
        <v>102</v>
      </c>
      <c r="D38" s="342"/>
      <c r="E38" s="217"/>
      <c r="F38" s="117"/>
      <c r="G38" s="58"/>
      <c r="H38" s="59">
        <f>IF(F9&lt;=90,1.3,0.9)</f>
        <v>1.3</v>
      </c>
      <c r="I38" s="116"/>
      <c r="J38" s="117"/>
      <c r="K38" s="58"/>
      <c r="L38" s="59">
        <f>IF(E6="あり",IF(H9&lt;=90,1.3,0.9),0)</f>
        <v>0</v>
      </c>
    </row>
    <row r="39" spans="1:12" ht="17.25" customHeight="1">
      <c r="A39" s="22"/>
      <c r="B39" s="335" t="s">
        <v>17</v>
      </c>
      <c r="C39" s="334" t="s">
        <v>33</v>
      </c>
      <c r="D39" s="334"/>
      <c r="E39" s="218"/>
      <c r="F39" s="33"/>
      <c r="G39" s="58"/>
      <c r="H39" s="59">
        <f>IF(F9&lt;=40,1.3,(IF(F9&lt;=150,2.6,3.8)))</f>
        <v>2.6</v>
      </c>
      <c r="I39" s="119"/>
      <c r="J39" s="33"/>
      <c r="K39" s="58"/>
      <c r="L39" s="59">
        <f>IF(E6="あり",IF(H9&lt;=40,1.3,(IF(H9&lt;=150,2.6,3.8))),0)</f>
        <v>0</v>
      </c>
    </row>
    <row r="40" spans="1:12" ht="17.25" customHeight="1">
      <c r="A40" s="22"/>
      <c r="B40" s="335" t="s">
        <v>31</v>
      </c>
      <c r="C40" s="334" t="s">
        <v>15</v>
      </c>
      <c r="D40" s="334"/>
      <c r="E40" s="206" t="s">
        <v>6</v>
      </c>
      <c r="F40" s="33"/>
      <c r="G40" s="58"/>
      <c r="H40" s="59">
        <f>IF(E40="あり",1.7,0)</f>
        <v>1.7</v>
      </c>
      <c r="I40" s="219" t="s">
        <v>6</v>
      </c>
      <c r="J40" s="230"/>
      <c r="K40" s="58"/>
      <c r="L40" s="59">
        <f>IF(E6="あり",IF(I40="あり",1.7,0),0)</f>
        <v>0</v>
      </c>
    </row>
    <row r="41" spans="1:12" ht="17.25" customHeight="1">
      <c r="A41" s="22"/>
      <c r="B41" s="335" t="s">
        <v>92</v>
      </c>
      <c r="C41" s="334" t="s">
        <v>34</v>
      </c>
      <c r="D41" s="334"/>
      <c r="E41" s="233" t="s">
        <v>6</v>
      </c>
      <c r="F41" s="120"/>
      <c r="G41" s="58"/>
      <c r="H41" s="59">
        <f>IF(E41="あり",1.1,0)</f>
        <v>1.1000000000000001</v>
      </c>
      <c r="I41" s="433" t="str">
        <f>IF($E$6="あり","本園分で選択","－")</f>
        <v>－</v>
      </c>
      <c r="J41" s="434"/>
      <c r="K41" s="224"/>
      <c r="L41" s="225"/>
    </row>
    <row r="42" spans="1:12" ht="17.25" customHeight="1" thickBot="1">
      <c r="A42" s="22"/>
      <c r="B42" s="335" t="s">
        <v>93</v>
      </c>
      <c r="C42" s="334" t="s">
        <v>88</v>
      </c>
      <c r="D42" s="334"/>
      <c r="E42" s="206" t="s">
        <v>6</v>
      </c>
      <c r="F42" s="232"/>
      <c r="G42" s="58"/>
      <c r="H42" s="59">
        <f>IF(E42="あり",0.7,0)</f>
        <v>0.7</v>
      </c>
      <c r="I42" s="433" t="str">
        <f>IF($E$6="あり","本園分で選択","－")</f>
        <v>－</v>
      </c>
      <c r="J42" s="434"/>
      <c r="K42" s="224"/>
      <c r="L42" s="225"/>
    </row>
    <row r="43" spans="1:12" ht="17.25" customHeight="1" thickBot="1">
      <c r="A43" s="22"/>
      <c r="B43" s="335" t="s">
        <v>89</v>
      </c>
      <c r="C43" s="334" t="s">
        <v>1</v>
      </c>
      <c r="D43" s="334"/>
      <c r="E43" s="234" t="s">
        <v>6</v>
      </c>
      <c r="F43" s="1">
        <v>3</v>
      </c>
      <c r="G43" s="58"/>
      <c r="H43" s="59">
        <f>IF(E43="あり",F43*1.1,0)</f>
        <v>3.3000000000000003</v>
      </c>
      <c r="I43" s="433" t="str">
        <f t="shared" ref="I43:I54" si="0">IF($E$6="あり","本園分で選択","－")</f>
        <v>－</v>
      </c>
      <c r="J43" s="434"/>
      <c r="K43" s="224"/>
      <c r="L43" s="225"/>
    </row>
    <row r="44" spans="1:12" ht="17.25" customHeight="1" thickBot="1">
      <c r="A44" s="22"/>
      <c r="B44" s="335" t="s">
        <v>90</v>
      </c>
      <c r="C44" s="334" t="s">
        <v>2</v>
      </c>
      <c r="D44" s="334"/>
      <c r="E44" s="206" t="s">
        <v>6</v>
      </c>
      <c r="F44" s="232"/>
      <c r="G44" s="58"/>
      <c r="H44" s="314">
        <f>IF(E44="あり",IF(IF(E6="あり",F8+H8,F8)&lt;=150,0.7,1.3),0)</f>
        <v>0.7</v>
      </c>
      <c r="I44" s="433" t="str">
        <f t="shared" si="0"/>
        <v>－</v>
      </c>
      <c r="J44" s="434"/>
      <c r="K44" s="224"/>
      <c r="L44" s="225"/>
    </row>
    <row r="45" spans="1:12" ht="17.25" customHeight="1" thickBot="1">
      <c r="A45" s="22"/>
      <c r="B45" s="240" t="s">
        <v>77</v>
      </c>
      <c r="C45" s="242" t="s">
        <v>144</v>
      </c>
      <c r="D45" s="249"/>
      <c r="E45" s="91" t="s">
        <v>6</v>
      </c>
      <c r="F45" s="1" t="s">
        <v>103</v>
      </c>
      <c r="G45" s="257"/>
      <c r="H45" s="324">
        <f>IF(E45="あり",IF(F45="自園調理",IF(IF(E6="あり",F8+H8,F8)&gt;=151,2.7,1.8),IF(F45="外部搬入",IF(IF(E6="あり",F8+H8,F8)&gt;=151,0.5,0.3),0)),0)</f>
        <v>1.8</v>
      </c>
      <c r="I45" s="450" t="str">
        <f t="shared" si="0"/>
        <v>－</v>
      </c>
      <c r="J45" s="451"/>
      <c r="K45" s="293"/>
      <c r="L45" s="294"/>
    </row>
    <row r="46" spans="1:12" ht="37.5" customHeight="1" thickBot="1">
      <c r="A46" s="22"/>
      <c r="B46" s="335" t="s">
        <v>94</v>
      </c>
      <c r="C46" s="408" t="s">
        <v>22</v>
      </c>
      <c r="D46" s="447"/>
      <c r="E46" s="206" t="s">
        <v>6</v>
      </c>
      <c r="F46" s="277" t="s">
        <v>127</v>
      </c>
      <c r="G46" s="259">
        <f>VLOOKUP(F46,$C$66:$D$79,2,FALSE)</f>
        <v>0.9</v>
      </c>
      <c r="H46" s="59">
        <f>IF(E46="あり",G46,0)</f>
        <v>0.9</v>
      </c>
      <c r="I46" s="448" t="str">
        <f t="shared" si="0"/>
        <v>－</v>
      </c>
      <c r="J46" s="449"/>
      <c r="K46" s="224"/>
      <c r="L46" s="225"/>
    </row>
    <row r="47" spans="1:12" ht="17.25" customHeight="1" thickBot="1">
      <c r="A47" s="22"/>
      <c r="B47" s="335" t="s">
        <v>87</v>
      </c>
      <c r="C47" s="408" t="s">
        <v>138</v>
      </c>
      <c r="D47" s="447"/>
      <c r="E47" s="206" t="s">
        <v>6</v>
      </c>
      <c r="F47" s="296"/>
      <c r="G47" s="278"/>
      <c r="H47" s="59">
        <f>IF(E47="あり",2.7,0)</f>
        <v>2.7</v>
      </c>
      <c r="I47" s="448" t="str">
        <f t="shared" si="0"/>
        <v>－</v>
      </c>
      <c r="J47" s="449"/>
      <c r="K47" s="224"/>
      <c r="L47" s="225"/>
    </row>
    <row r="48" spans="1:12" ht="19.5" customHeight="1" thickBot="1">
      <c r="A48" s="22"/>
      <c r="B48" s="270" t="s">
        <v>145</v>
      </c>
      <c r="C48" s="408" t="s">
        <v>107</v>
      </c>
      <c r="D48" s="447"/>
      <c r="E48" s="295" t="s">
        <v>6</v>
      </c>
      <c r="F48" s="297" t="s">
        <v>135</v>
      </c>
      <c r="G48" s="58"/>
      <c r="H48" s="59">
        <f>IF(E48="あり",IF(F48="A",0.4,IF(F48="B",0.3,0)),0)</f>
        <v>0.4</v>
      </c>
      <c r="I48" s="448" t="str">
        <f t="shared" si="0"/>
        <v>－</v>
      </c>
      <c r="J48" s="449"/>
      <c r="K48" s="192"/>
      <c r="L48" s="193"/>
    </row>
    <row r="49" spans="1:12" ht="17.25" customHeight="1">
      <c r="A49" s="22"/>
      <c r="B49" s="335" t="s">
        <v>146</v>
      </c>
      <c r="C49" s="334" t="s">
        <v>32</v>
      </c>
      <c r="D49" s="334"/>
      <c r="E49" s="206" t="s">
        <v>6</v>
      </c>
      <c r="F49" s="122"/>
      <c r="G49" s="58"/>
      <c r="H49" s="59">
        <f>IF(E49="あり",0.7,0)</f>
        <v>0.7</v>
      </c>
      <c r="I49" s="433" t="str">
        <f t="shared" si="0"/>
        <v>－</v>
      </c>
      <c r="J49" s="434"/>
      <c r="K49" s="224"/>
      <c r="L49" s="225"/>
    </row>
    <row r="50" spans="1:12" ht="17.25" customHeight="1">
      <c r="A50" s="22"/>
      <c r="B50" s="335" t="s">
        <v>99</v>
      </c>
      <c r="C50" s="334" t="s">
        <v>4</v>
      </c>
      <c r="D50" s="334"/>
      <c r="E50" s="206" t="s">
        <v>6</v>
      </c>
      <c r="F50" s="33"/>
      <c r="G50" s="58"/>
      <c r="H50" s="59">
        <f>IF(E50="あり",0.6,0)</f>
        <v>0.6</v>
      </c>
      <c r="I50" s="433" t="str">
        <f t="shared" si="0"/>
        <v>－</v>
      </c>
      <c r="J50" s="434"/>
      <c r="K50" s="224"/>
      <c r="L50" s="225"/>
    </row>
    <row r="51" spans="1:12" ht="17.25" customHeight="1">
      <c r="A51" s="22"/>
      <c r="B51" s="335" t="s">
        <v>96</v>
      </c>
      <c r="C51" s="334" t="s">
        <v>35</v>
      </c>
      <c r="D51" s="334"/>
      <c r="E51" s="206" t="s">
        <v>6</v>
      </c>
      <c r="F51" s="33"/>
      <c r="G51" s="58"/>
      <c r="H51" s="59">
        <f>IF(E51="あり",0.6,0)</f>
        <v>0.6</v>
      </c>
      <c r="I51" s="433" t="str">
        <f t="shared" si="0"/>
        <v>－</v>
      </c>
      <c r="J51" s="434"/>
      <c r="K51" s="224"/>
      <c r="L51" s="225"/>
    </row>
    <row r="52" spans="1:12" ht="17.25" customHeight="1" thickBot="1">
      <c r="A52" s="22"/>
      <c r="B52" s="335" t="s">
        <v>97</v>
      </c>
      <c r="C52" s="408" t="s">
        <v>95</v>
      </c>
      <c r="D52" s="447"/>
      <c r="E52" s="206" t="s">
        <v>6</v>
      </c>
      <c r="F52" s="120"/>
      <c r="G52" s="58"/>
      <c r="H52" s="59">
        <f>IF(E52="あり",0.6,0)</f>
        <v>0.6</v>
      </c>
      <c r="I52" s="338"/>
      <c r="J52" s="339"/>
      <c r="K52" s="224"/>
      <c r="L52" s="225"/>
    </row>
    <row r="53" spans="1:12" ht="44.25" customHeight="1" thickBot="1">
      <c r="A53" s="22"/>
      <c r="B53" s="335" t="s">
        <v>98</v>
      </c>
      <c r="C53" s="456" t="s">
        <v>61</v>
      </c>
      <c r="D53" s="456"/>
      <c r="E53" s="219" t="s">
        <v>74</v>
      </c>
      <c r="F53" s="390" t="s">
        <v>161</v>
      </c>
      <c r="G53" s="137"/>
      <c r="H53" s="60">
        <f>IF(E53="該当",IF(F53="１号",-0.8,IF(F53="２・３号",-0.6,-1.4)),0)</f>
        <v>-1.4</v>
      </c>
      <c r="I53" s="433" t="str">
        <f t="shared" si="0"/>
        <v>－</v>
      </c>
      <c r="J53" s="434"/>
      <c r="K53" s="227"/>
      <c r="L53" s="226"/>
    </row>
    <row r="54" spans="1:12" ht="24" customHeight="1" thickBot="1">
      <c r="A54" s="22"/>
      <c r="B54" s="394" t="s">
        <v>147</v>
      </c>
      <c r="C54" s="392" t="s">
        <v>68</v>
      </c>
      <c r="D54" s="393"/>
      <c r="E54" s="391" t="s">
        <v>74</v>
      </c>
      <c r="F54" s="123">
        <v>2</v>
      </c>
      <c r="G54" s="137"/>
      <c r="H54" s="60">
        <f>IF(E54="該当",-F54*1.2,0)</f>
        <v>-2.4</v>
      </c>
      <c r="I54" s="457" t="str">
        <f t="shared" si="0"/>
        <v>－</v>
      </c>
      <c r="J54" s="458"/>
      <c r="K54" s="227"/>
      <c r="L54" s="226"/>
    </row>
    <row r="55" spans="1:12" ht="24" customHeight="1">
      <c r="A55" s="22"/>
      <c r="B55" s="240" t="s">
        <v>148</v>
      </c>
      <c r="C55" s="459" t="s">
        <v>139</v>
      </c>
      <c r="D55" s="460"/>
      <c r="E55" s="219" t="s">
        <v>74</v>
      </c>
      <c r="F55" s="281"/>
      <c r="G55" s="54"/>
      <c r="H55" s="301">
        <f>IF(E55="該当",-1.2,0)</f>
        <v>-1.2</v>
      </c>
      <c r="I55" s="304"/>
      <c r="J55" s="305"/>
      <c r="K55" s="303"/>
      <c r="L55" s="280"/>
    </row>
    <row r="56" spans="1:12" ht="24" customHeight="1">
      <c r="A56" s="22"/>
      <c r="B56" s="240" t="s">
        <v>149</v>
      </c>
      <c r="C56" s="459" t="s">
        <v>136</v>
      </c>
      <c r="D56" s="460"/>
      <c r="E56" s="433" t="str">
        <f>IF($E$6="あり","分園がある場合に適用","－")</f>
        <v>－</v>
      </c>
      <c r="F56" s="434"/>
      <c r="G56" s="283"/>
      <c r="H56" s="302"/>
      <c r="I56" s="304"/>
      <c r="J56" s="305"/>
      <c r="K56" s="302"/>
      <c r="L56" s="279">
        <f>IF(E6="あり",IF(H9&lt;=40,-1.3,IF(H9&gt;=151,-3.8,-2.6)),0)</f>
        <v>0</v>
      </c>
    </row>
    <row r="57" spans="1:12" ht="24" customHeight="1">
      <c r="A57" s="124"/>
      <c r="B57" s="352" t="s">
        <v>159</v>
      </c>
      <c r="C57" s="342"/>
      <c r="D57" s="342"/>
      <c r="E57" s="353"/>
      <c r="F57" s="117"/>
      <c r="G57" s="354">
        <f>IF(E6="あり",F8+H8,F8)</f>
        <v>100</v>
      </c>
      <c r="H57" s="59">
        <f>IF(G57&lt;=90,2,2.7)</f>
        <v>2.7</v>
      </c>
      <c r="I57" s="448" t="str">
        <f>IF($E$6="あり","本園と合算","－")</f>
        <v>－</v>
      </c>
      <c r="J57" s="449"/>
      <c r="K57" s="355"/>
      <c r="L57" s="225"/>
    </row>
    <row r="58" spans="1:12" ht="24" customHeight="1" thickBot="1">
      <c r="A58" s="124"/>
      <c r="B58" s="348" t="s">
        <v>160</v>
      </c>
      <c r="C58" s="349"/>
      <c r="D58" s="349"/>
      <c r="E58" s="350"/>
      <c r="F58" s="125"/>
      <c r="G58" s="351">
        <f>F9</f>
        <v>50</v>
      </c>
      <c r="H58" s="152">
        <f>IF(G58&lt;=30,2.8,2.4)</f>
        <v>2.4</v>
      </c>
      <c r="I58" s="282"/>
      <c r="J58" s="125"/>
      <c r="K58" s="351">
        <f>IF(E6="あり",H9,0)</f>
        <v>0</v>
      </c>
      <c r="L58" s="152">
        <f>IF(E6="あり",IF(K58&lt;=30,2.8,2.4),0)</f>
        <v>0</v>
      </c>
    </row>
    <row r="59" spans="1:12" ht="24" customHeight="1" thickTop="1" thickBot="1">
      <c r="A59" s="22"/>
      <c r="B59" s="39" t="s">
        <v>9</v>
      </c>
      <c r="C59" s="40"/>
      <c r="D59" s="40"/>
      <c r="E59" s="202"/>
      <c r="F59" s="41"/>
      <c r="G59" s="63"/>
      <c r="H59" s="64">
        <f>SUM(H38:H58,H26)</f>
        <v>28.300000000000004</v>
      </c>
      <c r="I59" s="40"/>
      <c r="J59" s="41"/>
      <c r="K59" s="63"/>
      <c r="L59" s="64">
        <f>SUM(L38:L58,L26)</f>
        <v>0</v>
      </c>
    </row>
    <row r="60" spans="1:12" ht="24" customHeight="1" thickBot="1">
      <c r="A60" s="22"/>
      <c r="B60" s="42" t="s">
        <v>108</v>
      </c>
      <c r="C60" s="43"/>
      <c r="D60" s="43"/>
      <c r="E60" s="173"/>
      <c r="F60" s="44"/>
      <c r="G60" s="65"/>
      <c r="H60" s="153">
        <f>ROUND(H59,0)</f>
        <v>28</v>
      </c>
      <c r="I60" s="43"/>
      <c r="J60" s="44"/>
      <c r="K60" s="65"/>
      <c r="L60" s="153">
        <f>IF($E$6="あり",ROUND(L59,0),0)</f>
        <v>0</v>
      </c>
    </row>
    <row r="61" spans="1:12" ht="21.75" customHeight="1">
      <c r="A61" s="22"/>
      <c r="B61" s="40"/>
      <c r="C61" s="40"/>
      <c r="D61" s="40"/>
      <c r="E61" s="40"/>
      <c r="F61" s="46"/>
      <c r="G61" s="46"/>
      <c r="H61" s="51"/>
    </row>
    <row r="62" spans="1:12" ht="21.75" customHeight="1" thickBot="1">
      <c r="A62" s="15" t="s">
        <v>48</v>
      </c>
      <c r="B62" s="40"/>
      <c r="C62" s="40"/>
      <c r="D62" s="40"/>
      <c r="E62" s="40"/>
      <c r="F62" s="46"/>
      <c r="G62" s="46"/>
      <c r="H62" s="46"/>
    </row>
    <row r="63" spans="1:12" ht="21.75" customHeight="1" thickBot="1">
      <c r="B63" s="127"/>
      <c r="C63" s="52">
        <v>11280</v>
      </c>
      <c r="D63" s="52" t="s">
        <v>111</v>
      </c>
      <c r="E63" s="52"/>
      <c r="F63" s="128"/>
      <c r="G63" s="129"/>
      <c r="H63" s="70">
        <f>C63*(H60+L60)</f>
        <v>315840</v>
      </c>
    </row>
    <row r="64" spans="1:12" ht="33.75" customHeight="1"/>
    <row r="65" spans="1:12" hidden="1">
      <c r="C65" s="9" t="s">
        <v>140</v>
      </c>
    </row>
    <row r="66" spans="1:12" hidden="1">
      <c r="C66" s="9" t="s">
        <v>121</v>
      </c>
      <c r="D66" s="9">
        <v>0.5</v>
      </c>
    </row>
    <row r="67" spans="1:12" hidden="1">
      <c r="C67" s="9" t="s">
        <v>122</v>
      </c>
      <c r="D67" s="9">
        <v>0.5</v>
      </c>
    </row>
    <row r="68" spans="1:12" hidden="1">
      <c r="C68" s="9" t="s">
        <v>123</v>
      </c>
      <c r="D68" s="9">
        <v>0.6</v>
      </c>
    </row>
    <row r="69" spans="1:12" hidden="1">
      <c r="C69" s="9" t="s">
        <v>124</v>
      </c>
      <c r="D69" s="9">
        <v>0.7</v>
      </c>
    </row>
    <row r="70" spans="1:12" hidden="1">
      <c r="C70" s="9" t="s">
        <v>125</v>
      </c>
      <c r="D70" s="9">
        <v>0.8</v>
      </c>
    </row>
    <row r="71" spans="1:12" hidden="1">
      <c r="C71" s="9" t="s">
        <v>126</v>
      </c>
      <c r="D71" s="9">
        <v>0.8</v>
      </c>
    </row>
    <row r="72" spans="1:12" hidden="1">
      <c r="C72" s="9" t="s">
        <v>127</v>
      </c>
      <c r="D72" s="9">
        <v>0.9</v>
      </c>
    </row>
    <row r="73" spans="1:12" hidden="1">
      <c r="C73" s="9" t="s">
        <v>128</v>
      </c>
      <c r="D73" s="9">
        <v>1</v>
      </c>
    </row>
    <row r="74" spans="1:12" hidden="1">
      <c r="C74" s="9" t="s">
        <v>129</v>
      </c>
      <c r="D74" s="9">
        <v>1.1000000000000001</v>
      </c>
    </row>
    <row r="75" spans="1:12" s="10" customFormat="1" hidden="1">
      <c r="A75" s="11"/>
      <c r="B75" s="9"/>
      <c r="C75" s="9" t="s">
        <v>130</v>
      </c>
      <c r="D75" s="9">
        <v>1.1000000000000001</v>
      </c>
      <c r="I75" s="98"/>
      <c r="J75" s="11"/>
      <c r="K75" s="11"/>
      <c r="L75" s="11"/>
    </row>
    <row r="76" spans="1:12" s="10" customFormat="1" hidden="1">
      <c r="A76" s="11"/>
      <c r="B76" s="9"/>
      <c r="C76" s="9" t="s">
        <v>131</v>
      </c>
      <c r="D76" s="9">
        <v>1.2</v>
      </c>
      <c r="I76" s="98"/>
      <c r="J76" s="11"/>
      <c r="K76" s="11"/>
      <c r="L76" s="11"/>
    </row>
    <row r="77" spans="1:12" s="10" customFormat="1" hidden="1">
      <c r="A77" s="11"/>
      <c r="B77" s="9"/>
      <c r="C77" s="9" t="s">
        <v>132</v>
      </c>
      <c r="D77" s="9">
        <v>1.3</v>
      </c>
      <c r="I77" s="98"/>
      <c r="J77" s="11"/>
      <c r="K77" s="11"/>
      <c r="L77" s="11"/>
    </row>
    <row r="78" spans="1:12" s="10" customFormat="1" hidden="1">
      <c r="A78" s="11"/>
      <c r="B78" s="9"/>
      <c r="C78" s="9" t="s">
        <v>133</v>
      </c>
      <c r="D78" s="9">
        <v>1.4</v>
      </c>
      <c r="I78" s="98"/>
      <c r="J78" s="11"/>
      <c r="K78" s="11"/>
      <c r="L78" s="11"/>
    </row>
    <row r="79" spans="1:12" s="10" customFormat="1" hidden="1">
      <c r="A79" s="11"/>
      <c r="B79" s="9"/>
      <c r="C79" s="9" t="s">
        <v>134</v>
      </c>
      <c r="D79" s="9">
        <v>1.5</v>
      </c>
      <c r="I79" s="98"/>
      <c r="J79" s="11"/>
      <c r="K79" s="11"/>
      <c r="L79" s="11"/>
    </row>
    <row r="80" spans="1:12" s="10" customFormat="1" ht="20.25" customHeight="1">
      <c r="A80" s="11"/>
      <c r="B80" s="9"/>
      <c r="C80" s="9"/>
      <c r="D80" s="9"/>
      <c r="I80" s="98"/>
      <c r="J80" s="11"/>
      <c r="K80" s="11"/>
      <c r="L80" s="11"/>
    </row>
    <row r="81" spans="1:12" s="10" customFormat="1" ht="20.25" customHeight="1">
      <c r="A81" s="11"/>
      <c r="B81" s="9"/>
      <c r="C81" s="9"/>
      <c r="D81" s="9"/>
      <c r="I81" s="98"/>
      <c r="J81" s="11"/>
      <c r="K81" s="11"/>
      <c r="L81" s="11"/>
    </row>
    <row r="82" spans="1:12" s="10" customFormat="1" ht="20.25" customHeight="1">
      <c r="A82" s="11"/>
      <c r="B82" s="9"/>
      <c r="C82" s="9"/>
      <c r="D82" s="9"/>
      <c r="I82" s="98"/>
      <c r="J82" s="11"/>
      <c r="K82" s="11"/>
      <c r="L82" s="11"/>
    </row>
    <row r="83" spans="1:12" s="10" customFormat="1" ht="20.25" customHeight="1">
      <c r="A83" s="11"/>
      <c r="B83" s="9"/>
      <c r="C83" s="9"/>
      <c r="D83" s="9"/>
      <c r="I83" s="98"/>
      <c r="J83" s="11"/>
      <c r="K83" s="11"/>
      <c r="L83" s="11"/>
    </row>
    <row r="84" spans="1:12" s="10" customFormat="1" ht="20.25" customHeight="1">
      <c r="A84" s="11"/>
      <c r="B84" s="9"/>
      <c r="C84" s="9"/>
      <c r="D84" s="9"/>
      <c r="I84" s="98"/>
      <c r="J84" s="11"/>
      <c r="K84" s="11"/>
      <c r="L84" s="11"/>
    </row>
    <row r="85" spans="1:12" s="10" customFormat="1" ht="20.25" customHeight="1">
      <c r="A85" s="11"/>
      <c r="B85" s="9"/>
      <c r="C85" s="9"/>
      <c r="D85" s="9"/>
      <c r="I85" s="98"/>
      <c r="J85" s="11"/>
      <c r="K85" s="11"/>
      <c r="L85" s="11"/>
    </row>
    <row r="86" spans="1:12" s="10" customFormat="1" ht="20.25" customHeight="1">
      <c r="A86" s="11"/>
      <c r="B86" s="9"/>
      <c r="C86" s="9"/>
      <c r="D86" s="9"/>
      <c r="I86" s="98"/>
      <c r="J86" s="11"/>
      <c r="K86" s="11"/>
      <c r="L86" s="11"/>
    </row>
    <row r="87" spans="1:12" s="10" customFormat="1" ht="20.25" customHeight="1">
      <c r="A87" s="11"/>
      <c r="B87" s="9"/>
      <c r="C87" s="9"/>
      <c r="D87" s="9"/>
      <c r="I87" s="98"/>
      <c r="J87" s="11"/>
      <c r="K87" s="11"/>
      <c r="L87" s="11"/>
    </row>
    <row r="88" spans="1:12" s="10" customFormat="1" ht="20.25" customHeight="1">
      <c r="A88" s="11"/>
      <c r="B88" s="9"/>
      <c r="C88" s="9"/>
      <c r="D88" s="9"/>
      <c r="I88" s="98"/>
      <c r="J88" s="11"/>
      <c r="K88" s="11"/>
      <c r="L88" s="11"/>
    </row>
    <row r="89" spans="1:12" s="10" customFormat="1" ht="20.25" customHeight="1">
      <c r="A89" s="11"/>
      <c r="B89" s="9"/>
      <c r="C89" s="9"/>
      <c r="D89" s="9"/>
      <c r="I89" s="98"/>
      <c r="J89" s="11"/>
      <c r="K89" s="11"/>
      <c r="L89" s="11"/>
    </row>
    <row r="90" spans="1:12" s="10" customFormat="1" ht="20.25" customHeight="1">
      <c r="A90" s="11"/>
      <c r="B90" s="9"/>
      <c r="C90" s="9"/>
      <c r="D90" s="9"/>
      <c r="I90" s="98"/>
      <c r="J90" s="11"/>
      <c r="K90" s="11"/>
      <c r="L90" s="11"/>
    </row>
    <row r="91" spans="1:12" ht="20.25" customHeight="1"/>
    <row r="92" spans="1:12" ht="20.25" customHeight="1"/>
    <row r="93" spans="1:12" ht="20.25" customHeight="1"/>
    <row r="94" spans="1:12" ht="20.25" customHeight="1"/>
    <row r="95" spans="1:12" ht="20.25" customHeight="1"/>
    <row r="96" spans="1:12"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sheetData>
  <mergeCells count="48">
    <mergeCell ref="B27:B31"/>
    <mergeCell ref="B32:B37"/>
    <mergeCell ref="C20:D20"/>
    <mergeCell ref="B2:C2"/>
    <mergeCell ref="D2:H2"/>
    <mergeCell ref="B5:D5"/>
    <mergeCell ref="B6:D6"/>
    <mergeCell ref="B7:E7"/>
    <mergeCell ref="C8:E8"/>
    <mergeCell ref="C9:E9"/>
    <mergeCell ref="B10:E10"/>
    <mergeCell ref="C16:D16"/>
    <mergeCell ref="C17:D17"/>
    <mergeCell ref="C19:D19"/>
    <mergeCell ref="C21:L21"/>
    <mergeCell ref="E24:H24"/>
    <mergeCell ref="I24:L24"/>
    <mergeCell ref="G25:H25"/>
    <mergeCell ref="K25:L25"/>
    <mergeCell ref="C12:D12"/>
    <mergeCell ref="C13:D13"/>
    <mergeCell ref="I57:J57"/>
    <mergeCell ref="I27:J27"/>
    <mergeCell ref="I28:J28"/>
    <mergeCell ref="I51:J51"/>
    <mergeCell ref="C52:D52"/>
    <mergeCell ref="C53:D53"/>
    <mergeCell ref="I53:J53"/>
    <mergeCell ref="I54:J54"/>
    <mergeCell ref="C55:D55"/>
    <mergeCell ref="C47:D47"/>
    <mergeCell ref="I47:J47"/>
    <mergeCell ref="C48:D48"/>
    <mergeCell ref="I48:J48"/>
    <mergeCell ref="I49:J49"/>
    <mergeCell ref="I36:J36"/>
    <mergeCell ref="C56:D56"/>
    <mergeCell ref="E56:F56"/>
    <mergeCell ref="I50:J50"/>
    <mergeCell ref="I42:J42"/>
    <mergeCell ref="I43:J43"/>
    <mergeCell ref="I44:J44"/>
    <mergeCell ref="I45:J45"/>
    <mergeCell ref="C46:D46"/>
    <mergeCell ref="I46:J46"/>
    <mergeCell ref="I41:J41"/>
    <mergeCell ref="I29:J29"/>
    <mergeCell ref="I30:J30"/>
  </mergeCells>
  <phoneticPr fontId="1"/>
  <dataValidations count="7">
    <dataValidation type="list" allowBlank="1" showInputMessage="1" showErrorMessage="1" sqref="F47" xr:uid="{7B3701CF-1EC0-441D-B500-D521D2AE81FA}">
      <formula1>#REF!</formula1>
    </dataValidation>
    <dataValidation type="list" allowBlank="1" showInputMessage="1" showErrorMessage="1" sqref="F48" xr:uid="{F68DC8DA-2308-4833-9719-2C7B896B0C19}">
      <formula1>"　,A,B"</formula1>
    </dataValidation>
    <dataValidation type="list" allowBlank="1" showInputMessage="1" showErrorMessage="1" sqref="F45" xr:uid="{EE5F7B36-F1D2-4A5B-9649-B819464DF42D}">
      <formula1>",自園調理,外部搬入"</formula1>
    </dataValidation>
    <dataValidation type="list" allowBlank="1" showInputMessage="1" showErrorMessage="1" sqref="E53:E55" xr:uid="{710FA649-8B4B-49D4-B521-DE13DBA3A9E7}">
      <formula1>"　,該当,非該当"</formula1>
    </dataValidation>
    <dataValidation type="list" allowBlank="1" showInputMessage="1" showErrorMessage="1" sqref="E36 E57:E58 I40 E6 I58 E40:E52 E29:E30" xr:uid="{6D84D03F-A4D0-464D-80CA-3C68C6D9ED3F}">
      <formula1>"　,あり,なし"</formula1>
    </dataValidation>
    <dataValidation type="list" showInputMessage="1" showErrorMessage="1" sqref="F53" xr:uid="{83761661-BA7C-44BB-A058-2A527C228F3F}">
      <formula1>",１号,２・３号,１号及び２・３号"</formula1>
    </dataValidation>
    <dataValidation type="list" allowBlank="1" showInputMessage="1" showErrorMessage="1" sqref="F46" xr:uid="{2C984D33-C210-48F2-B2E0-9F02BAD67FA3}">
      <formula1>$C$66:$C$79</formula1>
    </dataValidation>
  </dataValidations>
  <pageMargins left="0.9055118110236221" right="0.55118110236220474" top="0.53" bottom="0.19685039370078741" header="0.31496062992125984" footer="0.19685039370078741"/>
  <pageSetup paperSize="9" scale="57"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I88"/>
  <sheetViews>
    <sheetView zoomScaleNormal="100" workbookViewId="0"/>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9.09765625" style="10" customWidth="1"/>
    <col min="7" max="7" width="14.5" style="10" hidden="1" customWidth="1"/>
    <col min="8" max="8" width="13.8984375" style="10" customWidth="1"/>
    <col min="9" max="9" width="9" style="10"/>
    <col min="10" max="16384" width="9" style="11"/>
  </cols>
  <sheetData>
    <row r="1" spans="1:9" s="8" customFormat="1" ht="31.5" customHeight="1">
      <c r="A1" s="5" t="s">
        <v>143</v>
      </c>
      <c r="B1" s="6"/>
      <c r="C1" s="6"/>
      <c r="D1" s="6"/>
      <c r="E1" s="6"/>
      <c r="F1" s="7"/>
      <c r="G1" s="7"/>
      <c r="H1" s="7"/>
      <c r="I1" s="7"/>
    </row>
    <row r="2" spans="1:9" ht="30.75" customHeight="1">
      <c r="A2" s="5" t="s">
        <v>113</v>
      </c>
    </row>
    <row r="3" spans="1:9" ht="21.75" customHeight="1" thickBot="1">
      <c r="A3" s="5"/>
    </row>
    <row r="4" spans="1:9" ht="19.5" customHeight="1" thickBot="1">
      <c r="A4" s="9"/>
      <c r="B4" s="435" t="s">
        <v>26</v>
      </c>
      <c r="C4" s="435"/>
      <c r="D4" s="413" t="s">
        <v>27</v>
      </c>
      <c r="E4" s="414"/>
      <c r="F4" s="414"/>
      <c r="G4" s="414"/>
      <c r="H4" s="415"/>
    </row>
    <row r="5" spans="1:9" ht="19.5" customHeight="1">
      <c r="A5" s="9"/>
      <c r="C5" s="255"/>
      <c r="D5" s="255"/>
      <c r="E5" s="13"/>
      <c r="F5" s="13"/>
      <c r="G5" s="13"/>
      <c r="H5" s="13"/>
    </row>
    <row r="6" spans="1:9" ht="19.5" customHeight="1" thickBot="1">
      <c r="A6" s="14" t="s">
        <v>112</v>
      </c>
    </row>
    <row r="7" spans="1:9" ht="33.75" customHeight="1" thickBot="1">
      <c r="B7" s="407"/>
      <c r="C7" s="408"/>
      <c r="D7" s="416"/>
      <c r="E7" s="20" t="s">
        <v>25</v>
      </c>
      <c r="F7" s="306" t="s">
        <v>24</v>
      </c>
      <c r="G7" s="436" t="s">
        <v>28</v>
      </c>
      <c r="H7" s="473"/>
    </row>
    <row r="8" spans="1:9" ht="24" customHeight="1" thickBot="1">
      <c r="B8" s="289" t="s">
        <v>114</v>
      </c>
      <c r="C8" s="408" t="s">
        <v>151</v>
      </c>
      <c r="D8" s="416"/>
      <c r="E8" s="121" t="s">
        <v>6</v>
      </c>
      <c r="F8" s="307" t="s">
        <v>152</v>
      </c>
      <c r="G8" s="290"/>
      <c r="H8" s="308">
        <f>IF(E8="あり",IF(F8="４人以上",1.1,0.5))</f>
        <v>1.1000000000000001</v>
      </c>
    </row>
    <row r="9" spans="1:9" ht="24" customHeight="1" thickBot="1">
      <c r="A9" s="22"/>
      <c r="B9" s="253" t="s">
        <v>91</v>
      </c>
      <c r="C9" s="408" t="s">
        <v>115</v>
      </c>
      <c r="D9" s="416"/>
      <c r="E9" s="121" t="s">
        <v>6</v>
      </c>
      <c r="F9" s="307">
        <v>3</v>
      </c>
      <c r="G9" s="58"/>
      <c r="H9" s="59">
        <f>IF(E9="あり",F9*0.3,0)</f>
        <v>0.89999999999999991</v>
      </c>
    </row>
    <row r="10" spans="1:9" ht="24" customHeight="1">
      <c r="A10" s="22"/>
      <c r="B10" s="253" t="s">
        <v>150</v>
      </c>
      <c r="C10" s="252" t="s">
        <v>95</v>
      </c>
      <c r="D10" s="254"/>
      <c r="E10" s="4" t="s">
        <v>6</v>
      </c>
      <c r="F10" s="122"/>
      <c r="G10" s="58"/>
      <c r="H10" s="59">
        <f>IF(E10="あり",0.6,0)</f>
        <v>0.6</v>
      </c>
    </row>
    <row r="11" spans="1:9" ht="27.75" customHeight="1">
      <c r="A11" s="22"/>
      <c r="B11" s="253" t="s">
        <v>31</v>
      </c>
      <c r="C11" s="471" t="s">
        <v>70</v>
      </c>
      <c r="D11" s="472"/>
      <c r="E11" s="4" t="s">
        <v>6</v>
      </c>
      <c r="F11" s="33"/>
      <c r="G11" s="58"/>
      <c r="H11" s="60">
        <f>IF(E11="あり",-1,0)</f>
        <v>-1</v>
      </c>
    </row>
    <row r="12" spans="1:9" ht="27.75" customHeight="1" thickBot="1">
      <c r="A12" s="22"/>
      <c r="B12" s="35" t="s">
        <v>40</v>
      </c>
      <c r="C12" s="36"/>
      <c r="D12" s="36"/>
      <c r="E12" s="37"/>
      <c r="F12" s="38"/>
      <c r="G12" s="61"/>
      <c r="H12" s="88">
        <v>2.6</v>
      </c>
    </row>
    <row r="13" spans="1:9" ht="24" customHeight="1" thickTop="1" thickBot="1">
      <c r="A13" s="22"/>
      <c r="B13" s="39" t="s">
        <v>9</v>
      </c>
      <c r="C13" s="40"/>
      <c r="D13" s="40"/>
      <c r="E13" s="40"/>
      <c r="F13" s="41"/>
      <c r="G13" s="63"/>
      <c r="H13" s="64">
        <f>SUM(H8:H12)</f>
        <v>4.2</v>
      </c>
    </row>
    <row r="14" spans="1:9" ht="24" customHeight="1" thickBot="1">
      <c r="A14" s="22"/>
      <c r="B14" s="94" t="s">
        <v>108</v>
      </c>
      <c r="C14" s="95"/>
      <c r="D14" s="95"/>
      <c r="E14" s="95"/>
      <c r="F14" s="96"/>
      <c r="G14" s="65"/>
      <c r="H14" s="153">
        <f>ROUND(H13,0)</f>
        <v>4</v>
      </c>
    </row>
    <row r="15" spans="1:9" ht="25.5" customHeight="1">
      <c r="A15" s="22"/>
      <c r="B15" s="40"/>
      <c r="C15" s="40"/>
      <c r="D15" s="40"/>
      <c r="E15" s="40"/>
      <c r="F15" s="40"/>
      <c r="G15" s="46"/>
      <c r="H15" s="51"/>
      <c r="I15" s="11"/>
    </row>
    <row r="16" spans="1:9" ht="25.5" customHeight="1" thickBot="1">
      <c r="A16" s="15" t="s">
        <v>48</v>
      </c>
      <c r="B16" s="40"/>
      <c r="C16" s="40"/>
      <c r="D16" s="40"/>
      <c r="E16" s="40"/>
      <c r="F16" s="40"/>
      <c r="G16" s="46"/>
      <c r="H16" s="46"/>
      <c r="I16" s="11"/>
    </row>
    <row r="17" spans="2:9" ht="25.5" customHeight="1" thickBot="1">
      <c r="B17" s="50"/>
      <c r="C17" s="52">
        <v>11000</v>
      </c>
      <c r="D17" s="49" t="s">
        <v>111</v>
      </c>
      <c r="E17" s="49"/>
      <c r="F17" s="49"/>
      <c r="G17" s="53"/>
      <c r="H17" s="70">
        <f>C17*H14</f>
        <v>44000</v>
      </c>
      <c r="I17" s="11"/>
    </row>
    <row r="18" spans="2:9" ht="33.75" customHeight="1"/>
    <row r="19" spans="2:9" ht="33.75" customHeight="1"/>
    <row r="20" spans="2:9" ht="33.75" customHeight="1"/>
    <row r="21" spans="2:9" ht="33.75" customHeight="1"/>
    <row r="22" spans="2:9" ht="33.75" customHeight="1"/>
    <row r="23" spans="2:9" ht="33.75" customHeight="1"/>
    <row r="24" spans="2:9" ht="33.75" customHeight="1"/>
    <row r="25" spans="2:9" ht="33.75" customHeight="1"/>
    <row r="26" spans="2:9" ht="33.75" customHeight="1"/>
    <row r="27" spans="2:9" ht="33.75" customHeight="1"/>
    <row r="28" spans="2:9" ht="20.25" customHeight="1"/>
    <row r="29" spans="2:9" ht="20.25" customHeight="1"/>
    <row r="30" spans="2:9" ht="20.25" customHeight="1"/>
    <row r="31" spans="2:9" ht="20.25" customHeight="1"/>
    <row r="32" spans="2:9"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sheetData>
  <mergeCells count="7">
    <mergeCell ref="C11:D11"/>
    <mergeCell ref="C9:D9"/>
    <mergeCell ref="B4:C4"/>
    <mergeCell ref="D4:H4"/>
    <mergeCell ref="B7:D7"/>
    <mergeCell ref="G7:H7"/>
    <mergeCell ref="C8:D8"/>
  </mergeCells>
  <phoneticPr fontId="1"/>
  <dataValidations count="2">
    <dataValidation type="list" allowBlank="1" showInputMessage="1" showErrorMessage="1" sqref="E8:E11" xr:uid="{00000000-0002-0000-0300-000000000000}">
      <formula1>"　,あり,なし"</formula1>
    </dataValidation>
    <dataValidation type="list" allowBlank="1" showInputMessage="1" showErrorMessage="1" sqref="F8" xr:uid="{D54BF336-00AA-4102-A415-52FC7D712830}">
      <formula1>",４人以上,３人以上,"</formula1>
    </dataValidation>
  </dataValidations>
  <pageMargins left="0.92" right="0.56000000000000005" top="0.75" bottom="0.75" header="0.3" footer="0.3"/>
  <pageSetup paperSize="9" scale="95"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J99"/>
  <sheetViews>
    <sheetView zoomScale="85" zoomScaleNormal="85" workbookViewId="0"/>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12.69921875" style="10" customWidth="1"/>
    <col min="7" max="7" width="14.5" style="10" hidden="1" customWidth="1"/>
    <col min="8" max="8" width="13.8984375" style="10" customWidth="1"/>
    <col min="9" max="9" width="9" style="10"/>
    <col min="10" max="16384" width="9" style="11"/>
  </cols>
  <sheetData>
    <row r="1" spans="1:10" s="8" customFormat="1" ht="31.5" customHeight="1">
      <c r="A1" s="5" t="s">
        <v>143</v>
      </c>
      <c r="B1" s="6"/>
      <c r="C1" s="6"/>
      <c r="D1" s="6"/>
      <c r="E1" s="6"/>
      <c r="F1" s="7"/>
      <c r="G1" s="7"/>
      <c r="H1" s="7"/>
      <c r="I1" s="7"/>
    </row>
    <row r="2" spans="1:10" ht="30.75" customHeight="1">
      <c r="A2" s="5" t="s">
        <v>38</v>
      </c>
    </row>
    <row r="3" spans="1:10" ht="30.75" customHeight="1">
      <c r="A3" s="5" t="s">
        <v>64</v>
      </c>
    </row>
    <row r="4" spans="1:10" ht="21.75" customHeight="1" thickBot="1">
      <c r="A4" s="5"/>
    </row>
    <row r="5" spans="1:10" ht="19.5" customHeight="1" thickBot="1">
      <c r="A5" s="9"/>
      <c r="B5" s="435" t="s">
        <v>26</v>
      </c>
      <c r="C5" s="435"/>
      <c r="D5" s="413" t="s">
        <v>27</v>
      </c>
      <c r="E5" s="414"/>
      <c r="F5" s="414"/>
      <c r="G5" s="414"/>
      <c r="H5" s="415"/>
    </row>
    <row r="6" spans="1:10" ht="19.5" customHeight="1">
      <c r="A6" s="9"/>
      <c r="C6" s="12"/>
      <c r="D6" s="12"/>
      <c r="E6" s="13"/>
      <c r="F6" s="13"/>
      <c r="G6" s="13"/>
      <c r="H6" s="13"/>
    </row>
    <row r="7" spans="1:10" ht="19.5" customHeight="1" thickBot="1">
      <c r="A7" s="14" t="s">
        <v>112</v>
      </c>
    </row>
    <row r="8" spans="1:10" ht="33.75" customHeight="1">
      <c r="B8" s="407"/>
      <c r="C8" s="408"/>
      <c r="D8" s="416"/>
      <c r="E8" s="20" t="s">
        <v>25</v>
      </c>
      <c r="F8" s="21" t="s">
        <v>24</v>
      </c>
      <c r="G8" s="436" t="s">
        <v>28</v>
      </c>
      <c r="H8" s="473"/>
    </row>
    <row r="9" spans="1:10" ht="24" customHeight="1" thickBot="1">
      <c r="A9" s="22"/>
      <c r="B9" s="23" t="s">
        <v>10</v>
      </c>
      <c r="C9" s="71" t="s">
        <v>11</v>
      </c>
      <c r="D9" s="71"/>
      <c r="E9" s="24"/>
      <c r="F9" s="25"/>
      <c r="G9" s="54"/>
      <c r="H9" s="324">
        <f>H16*1.3</f>
        <v>9.1</v>
      </c>
    </row>
    <row r="10" spans="1:10" ht="28.5" customHeight="1" thickBot="1">
      <c r="A10" s="22"/>
      <c r="B10" s="26"/>
      <c r="C10" s="474" t="s">
        <v>84</v>
      </c>
      <c r="D10" s="475"/>
      <c r="E10" s="109"/>
      <c r="F10" s="1">
        <v>1</v>
      </c>
      <c r="G10" s="80">
        <f>F10*1/30</f>
        <v>3.3333333333333333E-2</v>
      </c>
      <c r="H10" s="325">
        <f>ROUNDDOWN(G10,1)</f>
        <v>0</v>
      </c>
      <c r="J10" s="28"/>
    </row>
    <row r="11" spans="1:10" ht="28.5" customHeight="1" thickBot="1">
      <c r="A11" s="22"/>
      <c r="B11" s="26"/>
      <c r="C11" s="476" t="s">
        <v>85</v>
      </c>
      <c r="D11" s="477"/>
      <c r="E11" s="27"/>
      <c r="F11" s="1">
        <v>5</v>
      </c>
      <c r="G11" s="55">
        <f>F11*1/20</f>
        <v>0.25</v>
      </c>
      <c r="H11" s="319">
        <f>ROUNDDOWN(G11,1)</f>
        <v>0.2</v>
      </c>
      <c r="J11" s="28"/>
    </row>
    <row r="12" spans="1:10" ht="28.5" customHeight="1" thickBot="1">
      <c r="A12" s="22"/>
      <c r="B12" s="26"/>
      <c r="C12" s="476" t="s">
        <v>83</v>
      </c>
      <c r="D12" s="477"/>
      <c r="E12" s="27"/>
      <c r="F12" s="1">
        <v>10</v>
      </c>
      <c r="G12" s="55">
        <f>F12*1/6</f>
        <v>1.6666666666666667</v>
      </c>
      <c r="H12" s="319">
        <f>ROUNDDOWN(G12,1)</f>
        <v>1.6</v>
      </c>
      <c r="J12" s="28"/>
    </row>
    <row r="13" spans="1:10" ht="28.5" customHeight="1" thickBot="1">
      <c r="A13" s="22"/>
      <c r="B13" s="26"/>
      <c r="C13" s="476" t="s">
        <v>75</v>
      </c>
      <c r="D13" s="482"/>
      <c r="E13" s="27"/>
      <c r="F13" s="1">
        <v>4</v>
      </c>
      <c r="G13" s="55">
        <f>F13*1/3</f>
        <v>1.3333333333333333</v>
      </c>
      <c r="H13" s="319">
        <f>ROUNDDOWN(G13,1)</f>
        <v>1.3</v>
      </c>
      <c r="J13" s="28"/>
    </row>
    <row r="14" spans="1:10" ht="24" customHeight="1" thickBot="1">
      <c r="A14" s="22"/>
      <c r="B14" s="26"/>
      <c r="C14" s="483" t="s">
        <v>41</v>
      </c>
      <c r="D14" s="482"/>
      <c r="E14" s="91" t="s">
        <v>6</v>
      </c>
      <c r="F14" s="1">
        <v>6</v>
      </c>
      <c r="G14" s="55">
        <f>IF(E14="あり",F14/2,0)</f>
        <v>3</v>
      </c>
      <c r="H14" s="319">
        <f>ROUNDDOWN(G14,1)</f>
        <v>3</v>
      </c>
      <c r="J14" s="28"/>
    </row>
    <row r="15" spans="1:10" ht="24" customHeight="1" thickBot="1">
      <c r="A15" s="22"/>
      <c r="B15" s="29"/>
      <c r="C15" s="480" t="s">
        <v>39</v>
      </c>
      <c r="D15" s="481"/>
      <c r="E15" s="92"/>
      <c r="F15" s="93"/>
      <c r="G15" s="97"/>
      <c r="H15" s="326">
        <v>1</v>
      </c>
      <c r="J15" s="28"/>
    </row>
    <row r="16" spans="1:10" ht="24" customHeight="1" thickTop="1">
      <c r="A16" s="22"/>
      <c r="B16" s="29"/>
      <c r="C16" s="478" t="s">
        <v>29</v>
      </c>
      <c r="D16" s="479"/>
      <c r="E16" s="30"/>
      <c r="F16" s="31"/>
      <c r="G16" s="57"/>
      <c r="H16" s="321">
        <f>ROUND(SUM(H10:H15),0)</f>
        <v>7</v>
      </c>
      <c r="J16" s="28"/>
    </row>
    <row r="17" spans="1:9" ht="24" customHeight="1" thickBot="1">
      <c r="A17" s="22"/>
      <c r="B17" s="32" t="s">
        <v>16</v>
      </c>
      <c r="C17" s="408" t="s">
        <v>15</v>
      </c>
      <c r="D17" s="416"/>
      <c r="E17" s="4" t="s">
        <v>6</v>
      </c>
      <c r="F17" s="120"/>
      <c r="G17" s="58"/>
      <c r="H17" s="59">
        <f>IF(E17="あり",0.4,0)</f>
        <v>0.4</v>
      </c>
    </row>
    <row r="18" spans="1:9" ht="24" customHeight="1" thickBot="1">
      <c r="A18" s="22"/>
      <c r="B18" s="32" t="s">
        <v>17</v>
      </c>
      <c r="C18" s="408" t="s">
        <v>22</v>
      </c>
      <c r="D18" s="416"/>
      <c r="E18" s="121" t="s">
        <v>6</v>
      </c>
      <c r="F18" s="277" t="s">
        <v>121</v>
      </c>
      <c r="G18" s="259">
        <f>VLOOKUP(F18,$C$31:$D$44,2,FALSE)</f>
        <v>0.5</v>
      </c>
      <c r="H18" s="59">
        <f>IF(E18="あり",G18,0)</f>
        <v>0.5</v>
      </c>
    </row>
    <row r="19" spans="1:9" ht="24" customHeight="1">
      <c r="A19" s="22"/>
      <c r="B19" s="32" t="s">
        <v>31</v>
      </c>
      <c r="C19" s="408" t="s">
        <v>116</v>
      </c>
      <c r="D19" s="416"/>
      <c r="E19" s="4" t="s">
        <v>6</v>
      </c>
      <c r="F19" s="122"/>
      <c r="G19" s="58"/>
      <c r="H19" s="59">
        <f>IF(E19="あり",2.7,0)</f>
        <v>2.7</v>
      </c>
    </row>
    <row r="20" spans="1:9" ht="24" customHeight="1">
      <c r="A20" s="22"/>
      <c r="B20" s="32" t="s">
        <v>92</v>
      </c>
      <c r="C20" s="235" t="s">
        <v>95</v>
      </c>
      <c r="D20" s="236"/>
      <c r="E20" s="4" t="s">
        <v>6</v>
      </c>
      <c r="F20" s="33"/>
      <c r="G20" s="58"/>
      <c r="H20" s="59">
        <f>IF(E20="あり",0.6,0)</f>
        <v>0.6</v>
      </c>
    </row>
    <row r="21" spans="1:9" ht="27.75" customHeight="1">
      <c r="A21" s="22"/>
      <c r="B21" s="34" t="s">
        <v>93</v>
      </c>
      <c r="C21" s="471" t="s">
        <v>70</v>
      </c>
      <c r="D21" s="472"/>
      <c r="E21" s="4" t="s">
        <v>6</v>
      </c>
      <c r="F21" s="33"/>
      <c r="G21" s="58"/>
      <c r="H21" s="60">
        <f>IF(E21="あり",-1.2,0)</f>
        <v>-1.2</v>
      </c>
    </row>
    <row r="22" spans="1:9" ht="27.75" customHeight="1">
      <c r="A22" s="22"/>
      <c r="B22" s="240" t="s">
        <v>106</v>
      </c>
      <c r="C22" s="471" t="s">
        <v>117</v>
      </c>
      <c r="D22" s="472"/>
      <c r="E22" s="4" t="s">
        <v>6</v>
      </c>
      <c r="F22" s="120"/>
      <c r="G22" s="257"/>
      <c r="H22" s="60">
        <f>IF(E22="あり",-0.4,0)</f>
        <v>-0.4</v>
      </c>
    </row>
    <row r="23" spans="1:9" ht="27.75" customHeight="1" thickBot="1">
      <c r="A23" s="22"/>
      <c r="B23" s="35" t="s">
        <v>40</v>
      </c>
      <c r="C23" s="36"/>
      <c r="D23" s="36"/>
      <c r="E23" s="37"/>
      <c r="F23" s="38"/>
      <c r="G23" s="61"/>
      <c r="H23" s="88">
        <v>3.1</v>
      </c>
    </row>
    <row r="24" spans="1:9" ht="24" customHeight="1" thickTop="1" thickBot="1">
      <c r="A24" s="22"/>
      <c r="B24" s="39" t="s">
        <v>9</v>
      </c>
      <c r="C24" s="40"/>
      <c r="D24" s="40"/>
      <c r="E24" s="40"/>
      <c r="F24" s="41"/>
      <c r="G24" s="63"/>
      <c r="H24" s="64">
        <f>SUM(H17:H23,H9)</f>
        <v>14.8</v>
      </c>
    </row>
    <row r="25" spans="1:9" ht="24" customHeight="1" thickBot="1">
      <c r="A25" s="22"/>
      <c r="B25" s="94" t="s">
        <v>108</v>
      </c>
      <c r="C25" s="95"/>
      <c r="D25" s="95"/>
      <c r="E25" s="95"/>
      <c r="F25" s="96"/>
      <c r="G25" s="65"/>
      <c r="H25" s="153">
        <f>ROUND(H24,0)</f>
        <v>15</v>
      </c>
    </row>
    <row r="26" spans="1:9" ht="25.5" customHeight="1">
      <c r="A26" s="22"/>
      <c r="B26" s="40"/>
      <c r="C26" s="40"/>
      <c r="D26" s="40"/>
      <c r="E26" s="40"/>
      <c r="F26" s="40"/>
      <c r="G26" s="46"/>
      <c r="H26" s="51"/>
      <c r="I26" s="11"/>
    </row>
    <row r="27" spans="1:9" ht="25.5" customHeight="1" thickBot="1">
      <c r="A27" s="15" t="s">
        <v>48</v>
      </c>
      <c r="B27" s="40"/>
      <c r="C27" s="40"/>
      <c r="D27" s="40"/>
      <c r="E27" s="40"/>
      <c r="F27" s="40"/>
      <c r="G27" s="46"/>
      <c r="H27" s="46"/>
      <c r="I27" s="11"/>
    </row>
    <row r="28" spans="1:9" ht="25.5" customHeight="1" thickBot="1">
      <c r="B28" s="50"/>
      <c r="C28" s="52">
        <v>11000</v>
      </c>
      <c r="D28" s="49" t="s">
        <v>111</v>
      </c>
      <c r="E28" s="49"/>
      <c r="F28" s="49"/>
      <c r="G28" s="53"/>
      <c r="H28" s="70">
        <f>C28*H25</f>
        <v>165000</v>
      </c>
      <c r="I28" s="11"/>
    </row>
    <row r="29" spans="1:9" ht="33.75" customHeight="1"/>
    <row r="30" spans="1:9" hidden="1">
      <c r="C30" s="9" t="s">
        <v>140</v>
      </c>
    </row>
    <row r="31" spans="1:9" hidden="1">
      <c r="C31" s="9" t="s">
        <v>121</v>
      </c>
      <c r="D31" s="9">
        <v>0.5</v>
      </c>
    </row>
    <row r="32" spans="1:9" hidden="1">
      <c r="C32" s="9" t="s">
        <v>122</v>
      </c>
      <c r="D32" s="9">
        <v>0.5</v>
      </c>
    </row>
    <row r="33" spans="3:4" hidden="1">
      <c r="C33" s="9" t="s">
        <v>123</v>
      </c>
      <c r="D33" s="9">
        <v>0.6</v>
      </c>
    </row>
    <row r="34" spans="3:4" hidden="1">
      <c r="C34" s="9" t="s">
        <v>124</v>
      </c>
      <c r="D34" s="9">
        <v>0.7</v>
      </c>
    </row>
    <row r="35" spans="3:4" hidden="1">
      <c r="C35" s="9" t="s">
        <v>125</v>
      </c>
      <c r="D35" s="9">
        <v>0.8</v>
      </c>
    </row>
    <row r="36" spans="3:4" hidden="1">
      <c r="C36" s="9" t="s">
        <v>126</v>
      </c>
      <c r="D36" s="9">
        <v>0.8</v>
      </c>
    </row>
    <row r="37" spans="3:4" hidden="1">
      <c r="C37" s="9" t="s">
        <v>127</v>
      </c>
      <c r="D37" s="9">
        <v>0.9</v>
      </c>
    </row>
    <row r="38" spans="3:4" hidden="1">
      <c r="C38" s="9" t="s">
        <v>128</v>
      </c>
      <c r="D38" s="9">
        <v>1</v>
      </c>
    </row>
    <row r="39" spans="3:4" hidden="1">
      <c r="C39" s="9" t="s">
        <v>129</v>
      </c>
      <c r="D39" s="9">
        <v>1.1000000000000001</v>
      </c>
    </row>
    <row r="40" spans="3:4" hidden="1">
      <c r="C40" s="9" t="s">
        <v>130</v>
      </c>
      <c r="D40" s="9">
        <v>1.1000000000000001</v>
      </c>
    </row>
    <row r="41" spans="3:4" hidden="1">
      <c r="C41" s="9" t="s">
        <v>131</v>
      </c>
      <c r="D41" s="9">
        <v>1.2</v>
      </c>
    </row>
    <row r="42" spans="3:4" hidden="1">
      <c r="C42" s="9" t="s">
        <v>132</v>
      </c>
      <c r="D42" s="9">
        <v>1.3</v>
      </c>
    </row>
    <row r="43" spans="3:4" hidden="1">
      <c r="C43" s="9" t="s">
        <v>133</v>
      </c>
      <c r="D43" s="9">
        <v>1.4</v>
      </c>
    </row>
    <row r="44" spans="3:4" hidden="1">
      <c r="C44" s="9" t="s">
        <v>134</v>
      </c>
      <c r="D44" s="9">
        <v>1.5</v>
      </c>
    </row>
    <row r="45" spans="3:4" ht="18" customHeight="1"/>
    <row r="46" spans="3:4" ht="20.25" customHeight="1"/>
    <row r="47" spans="3:4" ht="20.25" customHeight="1"/>
    <row r="48" spans="3:4"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sheetData>
  <mergeCells count="16">
    <mergeCell ref="C19:D19"/>
    <mergeCell ref="C22:D22"/>
    <mergeCell ref="B5:C5"/>
    <mergeCell ref="C10:D10"/>
    <mergeCell ref="C11:D11"/>
    <mergeCell ref="D5:H5"/>
    <mergeCell ref="G8:H8"/>
    <mergeCell ref="C21:D21"/>
    <mergeCell ref="C18:D18"/>
    <mergeCell ref="C17:D17"/>
    <mergeCell ref="C16:D16"/>
    <mergeCell ref="C15:D15"/>
    <mergeCell ref="C13:D13"/>
    <mergeCell ref="C14:D14"/>
    <mergeCell ref="C12:D12"/>
    <mergeCell ref="B8:D8"/>
  </mergeCells>
  <phoneticPr fontId="1"/>
  <dataValidations count="2">
    <dataValidation type="list" allowBlank="1" showInputMessage="1" showErrorMessage="1" sqref="E14 E17:E22" xr:uid="{00000000-0002-0000-0400-000000000000}">
      <formula1>"　,あり,なし"</formula1>
    </dataValidation>
    <dataValidation type="list" allowBlank="1" showInputMessage="1" showErrorMessage="1" sqref="F18" xr:uid="{9B189884-C3AB-4EB5-AE50-BA86B0D37F9C}">
      <formula1>$C$31:$C$44</formula1>
    </dataValidation>
  </dataValidations>
  <pageMargins left="0.92" right="0.56000000000000005" top="0.75" bottom="0.75" header="0.3" footer="0.3"/>
  <pageSetup paperSize="9" scale="95" orientation="portrait"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J95"/>
  <sheetViews>
    <sheetView zoomScale="85" zoomScaleNormal="85" workbookViewId="0"/>
  </sheetViews>
  <sheetFormatPr defaultColWidth="9" defaultRowHeight="18"/>
  <cols>
    <col min="1" max="1" width="2.8984375" style="11" customWidth="1"/>
    <col min="2" max="2" width="3" style="9" customWidth="1"/>
    <col min="3" max="3" width="13.09765625" style="9" customWidth="1"/>
    <col min="4" max="4" width="23.3984375" style="9" customWidth="1"/>
    <col min="5" max="5" width="8" style="9" customWidth="1"/>
    <col min="6" max="6" width="9.3984375" style="10" customWidth="1"/>
    <col min="7" max="7" width="8" style="10" hidden="1" customWidth="1"/>
    <col min="8" max="8" width="13.69921875" style="10" customWidth="1"/>
    <col min="9" max="9" width="9" style="10"/>
    <col min="10" max="16384" width="9" style="11"/>
  </cols>
  <sheetData>
    <row r="1" spans="1:10" s="8" customFormat="1" ht="25.5" customHeight="1">
      <c r="A1" s="5" t="s">
        <v>143</v>
      </c>
      <c r="B1" s="6"/>
      <c r="C1" s="6"/>
      <c r="D1" s="6"/>
      <c r="E1" s="6"/>
      <c r="F1" s="7"/>
      <c r="G1" s="7"/>
      <c r="H1" s="7"/>
      <c r="I1" s="7"/>
    </row>
    <row r="2" spans="1:10" ht="25.5" customHeight="1">
      <c r="A2" s="5" t="s">
        <v>42</v>
      </c>
    </row>
    <row r="3" spans="1:10" ht="25.5" customHeight="1" thickBot="1">
      <c r="A3" s="5"/>
    </row>
    <row r="4" spans="1:10" ht="25.5" customHeight="1" thickBot="1">
      <c r="A4" s="9"/>
      <c r="B4" s="435" t="s">
        <v>26</v>
      </c>
      <c r="C4" s="435"/>
      <c r="D4" s="413" t="s">
        <v>27</v>
      </c>
      <c r="E4" s="414"/>
      <c r="F4" s="414"/>
      <c r="G4" s="414"/>
      <c r="H4" s="415"/>
    </row>
    <row r="5" spans="1:10" ht="25.5" customHeight="1">
      <c r="A5" s="9"/>
      <c r="C5" s="12"/>
      <c r="D5" s="12"/>
      <c r="E5" s="13"/>
      <c r="F5" s="13"/>
      <c r="G5" s="13"/>
      <c r="H5" s="13"/>
    </row>
    <row r="6" spans="1:10" ht="19.5" customHeight="1" thickBot="1">
      <c r="A6" s="14" t="s">
        <v>112</v>
      </c>
    </row>
    <row r="7" spans="1:10" ht="28.5" customHeight="1">
      <c r="B7" s="409"/>
      <c r="C7" s="410"/>
      <c r="D7" s="490"/>
      <c r="E7" s="20" t="s">
        <v>25</v>
      </c>
      <c r="F7" s="21" t="s">
        <v>24</v>
      </c>
      <c r="G7" s="436" t="s">
        <v>28</v>
      </c>
      <c r="H7" s="473"/>
    </row>
    <row r="8" spans="1:10" ht="25.5" customHeight="1" thickBot="1">
      <c r="A8" s="22"/>
      <c r="B8" s="23" t="s">
        <v>10</v>
      </c>
      <c r="C8" s="71" t="s">
        <v>11</v>
      </c>
      <c r="D8" s="71"/>
      <c r="E8" s="24"/>
      <c r="F8" s="25"/>
      <c r="G8" s="54"/>
      <c r="H8" s="324">
        <f>H14*1.3</f>
        <v>3.9000000000000004</v>
      </c>
    </row>
    <row r="9" spans="1:10" ht="25.5" customHeight="1" thickBot="1">
      <c r="A9" s="22"/>
      <c r="B9" s="26"/>
      <c r="C9" s="474" t="s">
        <v>86</v>
      </c>
      <c r="D9" s="475"/>
      <c r="E9" s="72"/>
      <c r="F9" s="1">
        <v>15</v>
      </c>
      <c r="G9" s="80">
        <f>IF(E10="あり",F9/5,F9/3)</f>
        <v>3</v>
      </c>
      <c r="H9" s="325">
        <f>IF(E11="なし",ROUND(G9,1),0)</f>
        <v>0</v>
      </c>
      <c r="J9" s="28"/>
    </row>
    <row r="10" spans="1:10" ht="25.5" customHeight="1">
      <c r="A10" s="22"/>
      <c r="B10" s="26"/>
      <c r="C10" s="492" t="s">
        <v>65</v>
      </c>
      <c r="D10" s="493"/>
      <c r="E10" s="73" t="s">
        <v>6</v>
      </c>
      <c r="F10" s="31"/>
      <c r="G10" s="81"/>
      <c r="H10" s="82"/>
      <c r="J10" s="28"/>
    </row>
    <row r="11" spans="1:10" ht="25.5" customHeight="1" thickBot="1">
      <c r="A11" s="22"/>
      <c r="B11" s="26"/>
      <c r="C11" s="488" t="s">
        <v>45</v>
      </c>
      <c r="D11" s="489"/>
      <c r="E11" s="74" t="s">
        <v>6</v>
      </c>
      <c r="F11" s="75"/>
      <c r="G11" s="83"/>
      <c r="H11" s="84"/>
      <c r="I11" s="76"/>
      <c r="J11" s="28"/>
    </row>
    <row r="12" spans="1:10" ht="25.5" customHeight="1" thickBot="1">
      <c r="A12" s="22"/>
      <c r="B12" s="26"/>
      <c r="C12" s="483" t="s">
        <v>43</v>
      </c>
      <c r="D12" s="482"/>
      <c r="E12" s="27"/>
      <c r="F12" s="1">
        <v>7</v>
      </c>
      <c r="G12" s="85">
        <f>IF(E11="あり",F12/5,0)</f>
        <v>1.4</v>
      </c>
      <c r="H12" s="318">
        <f>ROUNDDOWN(G12,1)</f>
        <v>1.4</v>
      </c>
      <c r="J12" s="28"/>
    </row>
    <row r="13" spans="1:10" ht="25.5" customHeight="1" thickBot="1">
      <c r="A13" s="22"/>
      <c r="B13" s="26"/>
      <c r="C13" s="480" t="s">
        <v>44</v>
      </c>
      <c r="D13" s="481"/>
      <c r="E13" s="77"/>
      <c r="F13" s="2">
        <v>3</v>
      </c>
      <c r="G13" s="56">
        <f>IF(E11="あり",F13/2,0)</f>
        <v>1.5</v>
      </c>
      <c r="H13" s="320">
        <f>ROUNDDOWN(G13,1)</f>
        <v>1.5</v>
      </c>
      <c r="J13" s="28"/>
    </row>
    <row r="14" spans="1:10" ht="25.5" customHeight="1" thickTop="1">
      <c r="A14" s="22"/>
      <c r="B14" s="29"/>
      <c r="C14" s="78" t="s">
        <v>29</v>
      </c>
      <c r="D14" s="78"/>
      <c r="E14" s="30"/>
      <c r="F14" s="31"/>
      <c r="G14" s="86"/>
      <c r="H14" s="321">
        <f>ROUND(SUM(H9:H13),0)</f>
        <v>3</v>
      </c>
      <c r="J14" s="28"/>
    </row>
    <row r="15" spans="1:10" ht="25.5" customHeight="1">
      <c r="A15" s="22"/>
      <c r="B15" s="23" t="s">
        <v>16</v>
      </c>
      <c r="C15" s="406" t="s">
        <v>15</v>
      </c>
      <c r="D15" s="491"/>
      <c r="E15" s="245" t="s">
        <v>6</v>
      </c>
      <c r="F15" s="120"/>
      <c r="G15" s="327"/>
      <c r="H15" s="292">
        <f>IF(E15="あり",0.4,0)</f>
        <v>0.4</v>
      </c>
    </row>
    <row r="16" spans="1:10" ht="25.5" customHeight="1">
      <c r="A16" s="22"/>
      <c r="B16" s="23" t="s">
        <v>17</v>
      </c>
      <c r="C16" s="288" t="s">
        <v>95</v>
      </c>
      <c r="D16" s="291"/>
      <c r="E16" s="245" t="s">
        <v>6</v>
      </c>
      <c r="F16" s="120"/>
      <c r="G16" s="327"/>
      <c r="H16" s="292">
        <f>IF(E16="あり",0.6,0)</f>
        <v>0.6</v>
      </c>
    </row>
    <row r="17" spans="1:9" ht="25.5" customHeight="1">
      <c r="A17" s="22"/>
      <c r="B17" s="289" t="s">
        <v>100</v>
      </c>
      <c r="C17" s="471" t="s">
        <v>70</v>
      </c>
      <c r="D17" s="472"/>
      <c r="E17" s="4" t="s">
        <v>6</v>
      </c>
      <c r="F17" s="33"/>
      <c r="G17" s="328"/>
      <c r="H17" s="60">
        <f>IF(E17="あり",-0.6,0)</f>
        <v>-0.6</v>
      </c>
    </row>
    <row r="18" spans="1:9" ht="25.5" customHeight="1">
      <c r="A18" s="22"/>
      <c r="B18" s="258" t="s">
        <v>118</v>
      </c>
      <c r="C18" s="471" t="s">
        <v>117</v>
      </c>
      <c r="D18" s="471"/>
      <c r="E18" s="4" t="s">
        <v>6</v>
      </c>
      <c r="F18" s="232"/>
      <c r="G18" s="89"/>
      <c r="H18" s="87">
        <f>IF(E18="あり",-0.4,0)</f>
        <v>-0.4</v>
      </c>
    </row>
    <row r="19" spans="1:9" ht="25.5" customHeight="1" thickBot="1">
      <c r="A19" s="22"/>
      <c r="B19" s="484" t="s">
        <v>40</v>
      </c>
      <c r="C19" s="485"/>
      <c r="D19" s="485"/>
      <c r="E19" s="486"/>
      <c r="F19" s="487"/>
      <c r="G19" s="61"/>
      <c r="H19" s="88">
        <v>1.8</v>
      </c>
    </row>
    <row r="20" spans="1:9" ht="25.5" customHeight="1" thickTop="1" thickBot="1">
      <c r="A20" s="22"/>
      <c r="B20" s="39" t="s">
        <v>9</v>
      </c>
      <c r="C20" s="40"/>
      <c r="D20" s="40"/>
      <c r="E20" s="40"/>
      <c r="F20" s="41"/>
      <c r="G20" s="89"/>
      <c r="H20" s="64">
        <f>SUM(H8,H15:H19)</f>
        <v>5.7000000000000011</v>
      </c>
    </row>
    <row r="21" spans="1:9" ht="25.5" customHeight="1" thickBot="1">
      <c r="A21" s="22"/>
      <c r="B21" s="42" t="s">
        <v>108</v>
      </c>
      <c r="C21" s="43"/>
      <c r="D21" s="43"/>
      <c r="E21" s="43"/>
      <c r="F21" s="44"/>
      <c r="G21" s="90"/>
      <c r="H21" s="66">
        <f>ROUND(H20,0)</f>
        <v>6</v>
      </c>
    </row>
    <row r="22" spans="1:9" ht="25.5" customHeight="1">
      <c r="A22" s="22"/>
      <c r="B22" s="40"/>
      <c r="C22" s="40"/>
      <c r="D22" s="40"/>
      <c r="E22" s="40"/>
      <c r="F22" s="40"/>
      <c r="G22" s="46"/>
      <c r="H22" s="51"/>
      <c r="I22" s="11"/>
    </row>
    <row r="23" spans="1:9" ht="25.5" customHeight="1" thickBot="1">
      <c r="A23" s="15" t="s">
        <v>48</v>
      </c>
      <c r="B23" s="40"/>
      <c r="C23" s="40"/>
      <c r="D23" s="40"/>
      <c r="E23" s="40"/>
      <c r="F23" s="40"/>
      <c r="G23" s="46"/>
      <c r="H23" s="46"/>
      <c r="I23" s="11"/>
    </row>
    <row r="24" spans="1:9" ht="25.5" customHeight="1" thickBot="1">
      <c r="B24" s="50"/>
      <c r="C24" s="52">
        <v>11000</v>
      </c>
      <c r="D24" s="49" t="s">
        <v>111</v>
      </c>
      <c r="E24" s="49"/>
      <c r="F24" s="43"/>
      <c r="G24" s="79"/>
      <c r="H24" s="70">
        <f>C24*H21</f>
        <v>66000</v>
      </c>
      <c r="I24" s="11"/>
    </row>
    <row r="25" spans="1:9" ht="33.75" customHeight="1"/>
    <row r="26" spans="1:9" ht="33.75" customHeight="1"/>
    <row r="27" spans="1:9" ht="33.75" customHeight="1"/>
    <row r="28" spans="1:9" ht="33.75" customHeight="1"/>
    <row r="29" spans="1:9" ht="33.75" customHeight="1"/>
    <row r="30" spans="1:9" ht="33.75" customHeight="1"/>
    <row r="31" spans="1:9" ht="33.75" customHeight="1"/>
    <row r="32" spans="1:9" ht="33.75" customHeight="1"/>
    <row r="33" ht="33.75" customHeight="1"/>
    <row r="34" ht="33.7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sheetData>
  <mergeCells count="13">
    <mergeCell ref="B4:C4"/>
    <mergeCell ref="D4:H4"/>
    <mergeCell ref="G7:H7"/>
    <mergeCell ref="C9:D9"/>
    <mergeCell ref="C10:D10"/>
    <mergeCell ref="B19:F19"/>
    <mergeCell ref="C11:D11"/>
    <mergeCell ref="B7:D7"/>
    <mergeCell ref="C12:D12"/>
    <mergeCell ref="C13:D13"/>
    <mergeCell ref="C17:D17"/>
    <mergeCell ref="C15:D15"/>
    <mergeCell ref="C18:D18"/>
  </mergeCells>
  <phoneticPr fontId="1"/>
  <dataValidations count="1">
    <dataValidation type="list" allowBlank="1" showInputMessage="1" showErrorMessage="1" sqref="E10:E11 E15:E18" xr:uid="{00000000-0002-0000-0500-000000000000}">
      <formula1>"　,あり,なし"</formula1>
    </dataValidation>
  </dataValidations>
  <pageMargins left="0.92" right="0.56000000000000005" top="0.75" bottom="0.75" header="0.3" footer="0.3"/>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J101"/>
  <sheetViews>
    <sheetView zoomScale="85" zoomScaleNormal="85" workbookViewId="0"/>
  </sheetViews>
  <sheetFormatPr defaultColWidth="9" defaultRowHeight="18"/>
  <cols>
    <col min="1" max="1" width="2.8984375" style="11" customWidth="1"/>
    <col min="2" max="2" width="3" style="9" customWidth="1"/>
    <col min="3" max="3" width="17.69921875" style="9" customWidth="1"/>
    <col min="4" max="4" width="22.59765625" style="9" customWidth="1"/>
    <col min="5" max="5" width="8" style="9" customWidth="1"/>
    <col min="6" max="6" width="10.19921875" style="10" customWidth="1"/>
    <col min="7" max="7" width="22.3984375" style="10" hidden="1" customWidth="1"/>
    <col min="8" max="8" width="14.3984375" style="10" customWidth="1"/>
    <col min="9" max="9" width="9" style="10"/>
    <col min="10" max="16384" width="9" style="11"/>
  </cols>
  <sheetData>
    <row r="1" spans="1:10" s="8" customFormat="1" ht="31.5" customHeight="1">
      <c r="A1" s="5" t="s">
        <v>143</v>
      </c>
      <c r="B1" s="6"/>
      <c r="C1" s="6"/>
      <c r="D1" s="6"/>
      <c r="E1" s="6"/>
      <c r="F1" s="7"/>
      <c r="G1" s="7"/>
      <c r="H1" s="7"/>
      <c r="I1" s="7"/>
    </row>
    <row r="2" spans="1:10" ht="30.75" customHeight="1">
      <c r="A2" s="5" t="s">
        <v>66</v>
      </c>
    </row>
    <row r="3" spans="1:10" ht="21.75" customHeight="1" thickBot="1">
      <c r="A3" s="5"/>
    </row>
    <row r="4" spans="1:10" ht="19.5" customHeight="1" thickBot="1">
      <c r="A4" s="9"/>
      <c r="B4" s="435" t="s">
        <v>26</v>
      </c>
      <c r="C4" s="435"/>
      <c r="D4" s="413" t="s">
        <v>27</v>
      </c>
      <c r="E4" s="414"/>
      <c r="F4" s="414"/>
      <c r="G4" s="414"/>
      <c r="H4" s="415"/>
    </row>
    <row r="5" spans="1:10" ht="19.5" customHeight="1">
      <c r="A5" s="9"/>
      <c r="C5" s="12"/>
      <c r="D5" s="12"/>
      <c r="E5" s="13"/>
      <c r="F5" s="13"/>
      <c r="G5" s="13"/>
      <c r="H5" s="13"/>
    </row>
    <row r="6" spans="1:10" ht="19.5" customHeight="1" thickBot="1">
      <c r="A6" s="14" t="s">
        <v>49</v>
      </c>
      <c r="E6" s="13"/>
      <c r="F6" s="13"/>
      <c r="G6" s="13"/>
      <c r="H6" s="13"/>
    </row>
    <row r="7" spans="1:10" ht="35.25" customHeight="1" thickBot="1">
      <c r="A7" s="15"/>
      <c r="B7" s="409"/>
      <c r="C7" s="410"/>
      <c r="D7" s="410"/>
      <c r="E7" s="410"/>
      <c r="F7" s="16" t="s">
        <v>24</v>
      </c>
      <c r="G7" s="13"/>
      <c r="H7" s="13"/>
      <c r="I7" s="13"/>
      <c r="J7" s="10"/>
    </row>
    <row r="8" spans="1:10" ht="19.5" customHeight="1" thickBot="1">
      <c r="A8" s="14"/>
      <c r="B8" s="407" t="s">
        <v>50</v>
      </c>
      <c r="C8" s="408"/>
      <c r="D8" s="408"/>
      <c r="E8" s="408"/>
      <c r="F8" s="1">
        <v>31</v>
      </c>
      <c r="G8" s="13"/>
      <c r="H8" s="13"/>
      <c r="I8" s="13"/>
      <c r="J8" s="10"/>
    </row>
    <row r="9" spans="1:10" ht="19.5" customHeight="1">
      <c r="A9" s="14"/>
      <c r="B9" s="17"/>
      <c r="C9" s="17"/>
      <c r="D9" s="17"/>
      <c r="E9" s="17"/>
      <c r="F9" s="18"/>
      <c r="G9" s="13"/>
      <c r="H9" s="13"/>
      <c r="I9" s="13"/>
      <c r="J9" s="10"/>
    </row>
    <row r="10" spans="1:10" ht="19.5" customHeight="1" thickBot="1">
      <c r="A10" s="14" t="s">
        <v>112</v>
      </c>
    </row>
    <row r="11" spans="1:10" ht="33.75" customHeight="1">
      <c r="B11" s="19"/>
      <c r="C11" s="408"/>
      <c r="D11" s="416"/>
      <c r="E11" s="20" t="s">
        <v>25</v>
      </c>
      <c r="F11" s="21" t="s">
        <v>24</v>
      </c>
      <c r="G11" s="494" t="s">
        <v>28</v>
      </c>
      <c r="H11" s="495"/>
    </row>
    <row r="12" spans="1:10" ht="24" customHeight="1" thickBot="1">
      <c r="A12" s="22"/>
      <c r="B12" s="240" t="s">
        <v>10</v>
      </c>
      <c r="C12" s="406" t="s">
        <v>11</v>
      </c>
      <c r="D12" s="491"/>
      <c r="E12" s="24"/>
      <c r="F12" s="25"/>
      <c r="G12" s="54"/>
      <c r="H12" s="324">
        <f>H18*1.3</f>
        <v>7.8000000000000007</v>
      </c>
    </row>
    <row r="13" spans="1:10" ht="33.75" customHeight="1" thickBot="1">
      <c r="A13" s="22"/>
      <c r="B13" s="258"/>
      <c r="C13" s="474" t="s">
        <v>84</v>
      </c>
      <c r="D13" s="475"/>
      <c r="E13" s="109"/>
      <c r="F13" s="1">
        <v>1</v>
      </c>
      <c r="G13" s="80">
        <f>F13*1/30</f>
        <v>3.3333333333333333E-2</v>
      </c>
      <c r="H13" s="325">
        <f>ROUNDDOWN(G13,1)</f>
        <v>0</v>
      </c>
    </row>
    <row r="14" spans="1:10" ht="33.75" customHeight="1" thickBot="1">
      <c r="A14" s="22"/>
      <c r="B14" s="258"/>
      <c r="C14" s="476" t="s">
        <v>85</v>
      </c>
      <c r="D14" s="477"/>
      <c r="E14" s="27"/>
      <c r="F14" s="1">
        <v>2</v>
      </c>
      <c r="G14" s="55">
        <f>F14*1/20</f>
        <v>0.1</v>
      </c>
      <c r="H14" s="319">
        <f>ROUNDDOWN(G14,1)</f>
        <v>0.1</v>
      </c>
    </row>
    <row r="15" spans="1:10" ht="33" customHeight="1" thickBot="1">
      <c r="A15" s="22"/>
      <c r="B15" s="300"/>
      <c r="C15" s="476" t="s">
        <v>71</v>
      </c>
      <c r="D15" s="477"/>
      <c r="E15" s="27"/>
      <c r="F15" s="1">
        <v>10</v>
      </c>
      <c r="G15" s="55">
        <f>F15*1/6</f>
        <v>1.6666666666666667</v>
      </c>
      <c r="H15" s="319">
        <f>ROUNDDOWN(G15,1)</f>
        <v>1.6</v>
      </c>
      <c r="J15" s="28"/>
    </row>
    <row r="16" spans="1:10" ht="30.75" customHeight="1" thickBot="1">
      <c r="A16" s="22"/>
      <c r="B16" s="300"/>
      <c r="C16" s="476" t="s">
        <v>75</v>
      </c>
      <c r="D16" s="482"/>
      <c r="E16" s="27"/>
      <c r="F16" s="1">
        <v>4</v>
      </c>
      <c r="G16" s="55">
        <f>F16*1/3</f>
        <v>1.3333333333333333</v>
      </c>
      <c r="H16" s="319">
        <f>ROUNDDOWN(G16,1)</f>
        <v>1.3</v>
      </c>
      <c r="J16" s="28"/>
    </row>
    <row r="17" spans="1:10" ht="30.75" customHeight="1" thickBot="1">
      <c r="A17" s="22"/>
      <c r="B17" s="300"/>
      <c r="C17" s="480" t="s">
        <v>41</v>
      </c>
      <c r="D17" s="481"/>
      <c r="E17" s="3" t="s">
        <v>6</v>
      </c>
      <c r="F17" s="2">
        <v>5</v>
      </c>
      <c r="G17" s="56">
        <f>IF(E17="あり",F17/2,0)</f>
        <v>2.5</v>
      </c>
      <c r="H17" s="320">
        <f>ROUNDDOWN(G17,1)</f>
        <v>2.5</v>
      </c>
      <c r="J17" s="28"/>
    </row>
    <row r="18" spans="1:10" ht="24" customHeight="1" thickTop="1">
      <c r="A18" s="22"/>
      <c r="B18" s="258"/>
      <c r="C18" s="431" t="s">
        <v>29</v>
      </c>
      <c r="D18" s="432"/>
      <c r="E18" s="30"/>
      <c r="F18" s="31"/>
      <c r="G18" s="57"/>
      <c r="H18" s="321">
        <f>ROUND(SUM(H13:H17),0)</f>
        <v>6</v>
      </c>
      <c r="J18" s="28"/>
    </row>
    <row r="19" spans="1:10" ht="24" customHeight="1" thickBot="1">
      <c r="A19" s="22"/>
      <c r="B19" s="289" t="s">
        <v>16</v>
      </c>
      <c r="C19" s="408" t="s">
        <v>15</v>
      </c>
      <c r="D19" s="416"/>
      <c r="E19" s="4" t="s">
        <v>6</v>
      </c>
      <c r="F19" s="33"/>
      <c r="G19" s="58"/>
      <c r="H19" s="59">
        <f>IF(E19="あり",1.7,0)</f>
        <v>1.7</v>
      </c>
    </row>
    <row r="20" spans="1:10" ht="29.25" customHeight="1" thickBot="1">
      <c r="A20" s="22"/>
      <c r="B20" s="289" t="s">
        <v>17</v>
      </c>
      <c r="C20" s="408" t="s">
        <v>22</v>
      </c>
      <c r="D20" s="416"/>
      <c r="E20" s="4" t="s">
        <v>6</v>
      </c>
      <c r="F20" s="277" t="s">
        <v>121</v>
      </c>
      <c r="G20" s="259">
        <f>VLOOKUP(F20,$C$33:$D$46,2,FALSE)</f>
        <v>0.5</v>
      </c>
      <c r="H20" s="59">
        <f>IF(E20="あり",G20,0)</f>
        <v>0.5</v>
      </c>
    </row>
    <row r="21" spans="1:10" ht="29.25" customHeight="1">
      <c r="A21" s="22"/>
      <c r="B21" s="289" t="s">
        <v>31</v>
      </c>
      <c r="C21" s="285" t="s">
        <v>138</v>
      </c>
      <c r="D21" s="286"/>
      <c r="E21" s="4" t="s">
        <v>6</v>
      </c>
      <c r="F21" s="329"/>
      <c r="G21" s="259"/>
      <c r="H21" s="59">
        <f>IF(E21="あり",2.7,0)</f>
        <v>2.7</v>
      </c>
    </row>
    <row r="22" spans="1:10" ht="24" customHeight="1">
      <c r="A22" s="22"/>
      <c r="B22" s="289" t="s">
        <v>92</v>
      </c>
      <c r="C22" s="235" t="s">
        <v>95</v>
      </c>
      <c r="D22" s="236"/>
      <c r="E22" s="4" t="s">
        <v>6</v>
      </c>
      <c r="F22" s="33"/>
      <c r="G22" s="58"/>
      <c r="H22" s="59">
        <f>IF(E22="あり",0.6,0)</f>
        <v>0.6</v>
      </c>
    </row>
    <row r="23" spans="1:10" ht="27.75" customHeight="1">
      <c r="A23" s="22"/>
      <c r="B23" s="289" t="s">
        <v>93</v>
      </c>
      <c r="C23" s="471" t="s">
        <v>70</v>
      </c>
      <c r="D23" s="472"/>
      <c r="E23" s="4" t="s">
        <v>6</v>
      </c>
      <c r="F23" s="33"/>
      <c r="G23" s="58"/>
      <c r="H23" s="60">
        <f>IF(E23="あり",IF(F8&lt;=40,-1.3,-2.6),0)</f>
        <v>-1.3</v>
      </c>
    </row>
    <row r="24" spans="1:10" ht="27.75" customHeight="1">
      <c r="A24" s="22"/>
      <c r="B24" s="240" t="s">
        <v>89</v>
      </c>
      <c r="C24" s="471" t="s">
        <v>117</v>
      </c>
      <c r="D24" s="472"/>
      <c r="E24" s="245" t="s">
        <v>6</v>
      </c>
      <c r="F24" s="120"/>
      <c r="G24" s="257"/>
      <c r="H24" s="279">
        <f>IF(E24="あり",-1,0)</f>
        <v>-1</v>
      </c>
    </row>
    <row r="25" spans="1:10" ht="27.75" customHeight="1" thickBot="1">
      <c r="A25" s="22"/>
      <c r="B25" s="35" t="s">
        <v>72</v>
      </c>
      <c r="C25" s="36"/>
      <c r="D25" s="36"/>
      <c r="E25" s="37"/>
      <c r="F25" s="38"/>
      <c r="G25" s="61"/>
      <c r="H25" s="62">
        <f>IF(F8&lt;=30,4.5,IF(F8&lt;=40,4.2,5.4))</f>
        <v>4.2</v>
      </c>
    </row>
    <row r="26" spans="1:10" ht="24" customHeight="1" thickTop="1" thickBot="1">
      <c r="A26" s="22"/>
      <c r="B26" s="39" t="s">
        <v>9</v>
      </c>
      <c r="C26" s="40"/>
      <c r="D26" s="40"/>
      <c r="E26" s="40"/>
      <c r="F26" s="41"/>
      <c r="G26" s="63"/>
      <c r="H26" s="64">
        <f>SUM(H19:H25,H12)</f>
        <v>15.200000000000001</v>
      </c>
    </row>
    <row r="27" spans="1:10" ht="24" customHeight="1" thickBot="1">
      <c r="A27" s="22"/>
      <c r="B27" s="42" t="s">
        <v>108</v>
      </c>
      <c r="C27" s="43"/>
      <c r="D27" s="43"/>
      <c r="E27" s="43"/>
      <c r="F27" s="44"/>
      <c r="G27" s="65"/>
      <c r="H27" s="153">
        <f>ROUND(H26,0)</f>
        <v>15</v>
      </c>
    </row>
    <row r="28" spans="1:10" ht="25.5" customHeight="1">
      <c r="A28" s="22"/>
      <c r="B28" s="40"/>
      <c r="C28" s="40"/>
      <c r="D28" s="40"/>
      <c r="E28" s="40"/>
      <c r="F28" s="40"/>
      <c r="G28" s="67"/>
      <c r="H28" s="68"/>
      <c r="I28" s="11"/>
    </row>
    <row r="29" spans="1:10" ht="25.5" customHeight="1" thickBot="1">
      <c r="A29" s="15" t="s">
        <v>48</v>
      </c>
      <c r="B29" s="40"/>
      <c r="C29" s="40"/>
      <c r="D29" s="40"/>
      <c r="E29" s="40"/>
      <c r="F29" s="40"/>
      <c r="G29" s="67"/>
      <c r="H29" s="67"/>
      <c r="I29" s="11"/>
    </row>
    <row r="30" spans="1:10" ht="25.5" customHeight="1" thickBot="1">
      <c r="B30" s="50"/>
      <c r="C30" s="52">
        <v>11000</v>
      </c>
      <c r="D30" s="49" t="s">
        <v>111</v>
      </c>
      <c r="E30" s="49"/>
      <c r="F30" s="49"/>
      <c r="G30" s="69"/>
      <c r="H30" s="70">
        <f>C30*H27</f>
        <v>165000</v>
      </c>
      <c r="I30" s="11"/>
    </row>
    <row r="31" spans="1:10" ht="33.75" customHeight="1"/>
    <row r="32" spans="1:10" hidden="1">
      <c r="C32" s="9" t="s">
        <v>140</v>
      </c>
    </row>
    <row r="33" spans="3:4" hidden="1">
      <c r="C33" s="9" t="s">
        <v>121</v>
      </c>
      <c r="D33" s="9">
        <v>0.5</v>
      </c>
    </row>
    <row r="34" spans="3:4" hidden="1">
      <c r="C34" s="9" t="s">
        <v>122</v>
      </c>
      <c r="D34" s="9">
        <v>0.5</v>
      </c>
    </row>
    <row r="35" spans="3:4" hidden="1">
      <c r="C35" s="9" t="s">
        <v>123</v>
      </c>
      <c r="D35" s="9">
        <v>0.6</v>
      </c>
    </row>
    <row r="36" spans="3:4" hidden="1">
      <c r="C36" s="9" t="s">
        <v>124</v>
      </c>
      <c r="D36" s="9">
        <v>0.7</v>
      </c>
    </row>
    <row r="37" spans="3:4" hidden="1">
      <c r="C37" s="9" t="s">
        <v>125</v>
      </c>
      <c r="D37" s="9">
        <v>0.8</v>
      </c>
    </row>
    <row r="38" spans="3:4" hidden="1">
      <c r="C38" s="9" t="s">
        <v>126</v>
      </c>
      <c r="D38" s="9">
        <v>0.8</v>
      </c>
    </row>
    <row r="39" spans="3:4" hidden="1">
      <c r="C39" s="9" t="s">
        <v>127</v>
      </c>
      <c r="D39" s="9">
        <v>0.9</v>
      </c>
    </row>
    <row r="40" spans="3:4" hidden="1">
      <c r="C40" s="9" t="s">
        <v>128</v>
      </c>
      <c r="D40" s="9">
        <v>1</v>
      </c>
    </row>
    <row r="41" spans="3:4" hidden="1">
      <c r="C41" s="9" t="s">
        <v>129</v>
      </c>
      <c r="D41" s="9">
        <v>1.1000000000000001</v>
      </c>
    </row>
    <row r="42" spans="3:4" hidden="1">
      <c r="C42" s="9" t="s">
        <v>130</v>
      </c>
      <c r="D42" s="9">
        <v>1.1000000000000001</v>
      </c>
    </row>
    <row r="43" spans="3:4" hidden="1">
      <c r="C43" s="9" t="s">
        <v>131</v>
      </c>
      <c r="D43" s="9">
        <v>1.2</v>
      </c>
    </row>
    <row r="44" spans="3:4" hidden="1">
      <c r="C44" s="9" t="s">
        <v>132</v>
      </c>
      <c r="D44" s="9">
        <v>1.3</v>
      </c>
    </row>
    <row r="45" spans="3:4" hidden="1">
      <c r="C45" s="9" t="s">
        <v>133</v>
      </c>
      <c r="D45" s="9">
        <v>1.4</v>
      </c>
    </row>
    <row r="46" spans="3:4" hidden="1">
      <c r="C46" s="9" t="s">
        <v>134</v>
      </c>
      <c r="D46" s="9">
        <v>1.5</v>
      </c>
    </row>
    <row r="47" spans="3:4" ht="20.25" customHeight="1"/>
    <row r="48" spans="3:4"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sheetData>
  <mergeCells count="17">
    <mergeCell ref="B4:C4"/>
    <mergeCell ref="C13:D13"/>
    <mergeCell ref="C14:D14"/>
    <mergeCell ref="D4:H4"/>
    <mergeCell ref="B7:E7"/>
    <mergeCell ref="B8:E8"/>
    <mergeCell ref="G11:H11"/>
    <mergeCell ref="C11:D11"/>
    <mergeCell ref="C12:D12"/>
    <mergeCell ref="C19:D19"/>
    <mergeCell ref="C24:D24"/>
    <mergeCell ref="C15:D15"/>
    <mergeCell ref="C20:D20"/>
    <mergeCell ref="C23:D23"/>
    <mergeCell ref="C17:D17"/>
    <mergeCell ref="C16:D16"/>
    <mergeCell ref="C18:D18"/>
  </mergeCells>
  <phoneticPr fontId="1"/>
  <dataValidations count="2">
    <dataValidation type="list" allowBlank="1" showInputMessage="1" showErrorMessage="1" sqref="E17 E19:E24" xr:uid="{00000000-0002-0000-0600-000000000000}">
      <formula1>"　,あり,なし"</formula1>
    </dataValidation>
    <dataValidation type="list" allowBlank="1" showInputMessage="1" showErrorMessage="1" sqref="F20" xr:uid="{05D77EA7-4409-4132-B678-43D0C8E6DFFE}">
      <formula1>$C$33:$C$46</formula1>
    </dataValidation>
  </dataValidations>
  <pageMargins left="0.92" right="0.56000000000000005" top="0.56999999999999995" bottom="0.33" header="0.3" footer="0.3"/>
  <pageSetup paperSize="9" scale="94" orientation="portrait" horizontalDpi="300" verticalDpi="30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I86"/>
  <sheetViews>
    <sheetView zoomScaleNormal="100" workbookViewId="0"/>
  </sheetViews>
  <sheetFormatPr defaultColWidth="9" defaultRowHeight="18"/>
  <cols>
    <col min="1" max="1" width="2.8984375" style="11" customWidth="1"/>
    <col min="2" max="2" width="3" style="9" customWidth="1"/>
    <col min="3" max="3" width="16.3984375" style="9" customWidth="1"/>
    <col min="4" max="4" width="25.5" style="9" customWidth="1"/>
    <col min="5" max="5" width="8" style="9" customWidth="1"/>
    <col min="6" max="6" width="8" style="10" customWidth="1"/>
    <col min="7" max="7" width="14.5" style="10" hidden="1" customWidth="1"/>
    <col min="8" max="8" width="13.8984375" style="10" customWidth="1"/>
    <col min="9" max="9" width="9" style="10"/>
    <col min="10" max="16384" width="9" style="11"/>
  </cols>
  <sheetData>
    <row r="1" spans="1:9" s="8" customFormat="1" ht="31.5" customHeight="1">
      <c r="A1" s="5" t="s">
        <v>143</v>
      </c>
      <c r="B1" s="6"/>
      <c r="C1" s="6"/>
      <c r="D1" s="6"/>
      <c r="E1" s="6"/>
      <c r="F1" s="7"/>
      <c r="G1" s="7"/>
      <c r="H1" s="7"/>
      <c r="I1" s="7"/>
    </row>
    <row r="2" spans="1:9" ht="30.75" customHeight="1">
      <c r="A2" s="5" t="s">
        <v>119</v>
      </c>
    </row>
    <row r="3" spans="1:9" ht="21.75" customHeight="1" thickBot="1">
      <c r="A3" s="5"/>
    </row>
    <row r="4" spans="1:9" ht="19.5" customHeight="1" thickBot="1">
      <c r="A4" s="9"/>
      <c r="B4" s="435" t="s">
        <v>26</v>
      </c>
      <c r="C4" s="435"/>
      <c r="D4" s="413" t="s">
        <v>27</v>
      </c>
      <c r="E4" s="414"/>
      <c r="F4" s="414"/>
      <c r="G4" s="414"/>
      <c r="H4" s="415"/>
    </row>
    <row r="5" spans="1:9" ht="19.5" customHeight="1">
      <c r="A5" s="9"/>
      <c r="C5" s="255"/>
      <c r="D5" s="255"/>
      <c r="E5" s="13"/>
      <c r="F5" s="13"/>
      <c r="G5" s="13"/>
      <c r="H5" s="13"/>
    </row>
    <row r="6" spans="1:9" ht="19.5" customHeight="1" thickBot="1">
      <c r="A6" s="14" t="s">
        <v>112</v>
      </c>
    </row>
    <row r="7" spans="1:9" ht="33.75" customHeight="1">
      <c r="B7" s="407"/>
      <c r="C7" s="408"/>
      <c r="D7" s="416"/>
      <c r="E7" s="20" t="s">
        <v>25</v>
      </c>
      <c r="F7" s="21" t="s">
        <v>24</v>
      </c>
      <c r="G7" s="436" t="s">
        <v>28</v>
      </c>
      <c r="H7" s="473"/>
    </row>
    <row r="8" spans="1:9" ht="24" customHeight="1">
      <c r="A8" s="22"/>
      <c r="B8" s="253" t="s">
        <v>114</v>
      </c>
      <c r="C8" s="408" t="s">
        <v>15</v>
      </c>
      <c r="D8" s="416"/>
      <c r="E8" s="4" t="s">
        <v>6</v>
      </c>
      <c r="F8" s="33"/>
      <c r="G8" s="58"/>
      <c r="H8" s="59">
        <f>IF(E8="あり",0.4,0)</f>
        <v>0.4</v>
      </c>
    </row>
    <row r="9" spans="1:9" ht="27.75" customHeight="1">
      <c r="A9" s="22"/>
      <c r="B9" s="253" t="s">
        <v>16</v>
      </c>
      <c r="C9" s="471" t="s">
        <v>120</v>
      </c>
      <c r="D9" s="472"/>
      <c r="E9" s="4" t="s">
        <v>6</v>
      </c>
      <c r="F9" s="33"/>
      <c r="G9" s="58"/>
      <c r="H9" s="60">
        <f>IF(E9="あり",-0.2,0)</f>
        <v>-0.2</v>
      </c>
    </row>
    <row r="10" spans="1:9" ht="27.75" customHeight="1" thickBot="1">
      <c r="A10" s="22"/>
      <c r="B10" s="35" t="s">
        <v>40</v>
      </c>
      <c r="C10" s="36"/>
      <c r="D10" s="36"/>
      <c r="E10" s="37"/>
      <c r="F10" s="38"/>
      <c r="G10" s="61"/>
      <c r="H10" s="88">
        <v>1.3</v>
      </c>
    </row>
    <row r="11" spans="1:9" ht="24" customHeight="1" thickTop="1" thickBot="1">
      <c r="A11" s="22"/>
      <c r="B11" s="39" t="s">
        <v>9</v>
      </c>
      <c r="C11" s="40"/>
      <c r="D11" s="40"/>
      <c r="E11" s="40"/>
      <c r="F11" s="41"/>
      <c r="G11" s="63"/>
      <c r="H11" s="64">
        <f>SUM(H8:H10)</f>
        <v>1.5</v>
      </c>
    </row>
    <row r="12" spans="1:9" ht="24" customHeight="1" thickBot="1">
      <c r="A12" s="22"/>
      <c r="B12" s="94" t="s">
        <v>108</v>
      </c>
      <c r="C12" s="95"/>
      <c r="D12" s="95"/>
      <c r="E12" s="95"/>
      <c r="F12" s="96"/>
      <c r="G12" s="65"/>
      <c r="H12" s="153">
        <f>ROUND(H11,0)</f>
        <v>2</v>
      </c>
    </row>
    <row r="13" spans="1:9" ht="25.5" customHeight="1">
      <c r="A13" s="22"/>
      <c r="B13" s="40"/>
      <c r="C13" s="40"/>
      <c r="D13" s="40"/>
      <c r="E13" s="40"/>
      <c r="F13" s="40"/>
      <c r="G13" s="46"/>
      <c r="H13" s="51"/>
      <c r="I13" s="11"/>
    </row>
    <row r="14" spans="1:9" ht="25.5" customHeight="1" thickBot="1">
      <c r="A14" s="15" t="s">
        <v>48</v>
      </c>
      <c r="B14" s="40"/>
      <c r="C14" s="40"/>
      <c r="D14" s="40"/>
      <c r="E14" s="40"/>
      <c r="F14" s="40"/>
      <c r="G14" s="46"/>
      <c r="H14" s="46"/>
      <c r="I14" s="11"/>
    </row>
    <row r="15" spans="1:9" ht="25.5" customHeight="1" thickBot="1">
      <c r="B15" s="50"/>
      <c r="C15" s="52">
        <v>11000</v>
      </c>
      <c r="D15" s="49" t="s">
        <v>111</v>
      </c>
      <c r="E15" s="49"/>
      <c r="F15" s="49"/>
      <c r="G15" s="53"/>
      <c r="H15" s="70">
        <f>C15*H12</f>
        <v>22000</v>
      </c>
      <c r="I15" s="11"/>
    </row>
    <row r="16" spans="1:9" ht="33.75" customHeight="1"/>
    <row r="17" ht="33.75" customHeight="1"/>
    <row r="18" ht="33.75" customHeight="1"/>
    <row r="19" ht="33.75" customHeight="1"/>
    <row r="20" ht="33.75" customHeight="1"/>
    <row r="21" ht="33.75" customHeight="1"/>
    <row r="22" ht="33.75" customHeight="1"/>
    <row r="23" ht="33.75" customHeight="1"/>
    <row r="24" ht="33.75" customHeight="1"/>
    <row r="25" ht="33.7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sheetData>
  <mergeCells count="6">
    <mergeCell ref="C9:D9"/>
    <mergeCell ref="B4:C4"/>
    <mergeCell ref="D4:H4"/>
    <mergeCell ref="B7:D7"/>
    <mergeCell ref="G7:H7"/>
    <mergeCell ref="C8:D8"/>
  </mergeCells>
  <phoneticPr fontId="1"/>
  <dataValidations count="1">
    <dataValidation type="list" allowBlank="1" showInputMessage="1" showErrorMessage="1" sqref="E8:E9" xr:uid="{00000000-0002-0000-0800-000000000000}">
      <formula1>"　,あり,なし"</formula1>
    </dataValidation>
  </dataValidations>
  <pageMargins left="0.92" right="0.56000000000000005" top="0.75" bottom="0.75" header="0.3" footer="0.3"/>
  <pageSetup paperSize="9" scale="9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幼稚園</vt:lpstr>
      <vt:lpstr>保育所</vt:lpstr>
      <vt:lpstr>認定こども園 </vt:lpstr>
      <vt:lpstr>家庭的保育事業</vt:lpstr>
      <vt:lpstr>小規模（事業所内）Ａ・Ｂ</vt:lpstr>
      <vt:lpstr>小規模Ｃ</vt:lpstr>
      <vt:lpstr>事業所内（定員20以上）</vt:lpstr>
      <vt:lpstr>居宅訪問型保育事業</vt:lpstr>
      <vt:lpstr>家庭的保育事業!Print_Area</vt:lpstr>
      <vt:lpstr>居宅訪問型保育事業!Print_Area</vt:lpstr>
      <vt:lpstr>'事業所内（定員20以上）'!Print_Area</vt:lpstr>
      <vt:lpstr>'小規模（事業所内）Ａ・Ｂ'!Print_Area</vt:lpstr>
      <vt:lpstr>小規模Ｃ!Print_Area</vt:lpstr>
      <vt:lpstr>'認定こども園 '!Print_Area</vt:lpstr>
      <vt:lpstr>保育所!Print_Area</vt:lpstr>
      <vt:lpstr>幼稚園!Print_Area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処遇改善等加算Ⅲ　加算Ⅲ算定対象人数計算表（幼稚園）</dc:title>
  <dc:creator/>
  <cp:lastModifiedBy/>
  <dcterms:created xsi:type="dcterms:W3CDTF">2023-06-09T02:43:55Z</dcterms:created>
  <dcterms:modified xsi:type="dcterms:W3CDTF">2023-06-09T05:13:29Z</dcterms:modified>
</cp:coreProperties>
</file>