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276" documentId="11_6A1F6919BD90C8BA205F9DDA01048528D217F6D9" xr6:coauthVersionLast="47" xr6:coauthVersionMax="47" xr10:uidLastSave="{061163AF-D0B8-4F96-BAF6-15DE1BF13DEB}"/>
  <bookViews>
    <workbookView xWindow="-108" yWindow="-108" windowWidth="23256" windowHeight="12576"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'事業所内（定員20以上）'!$A$1:$H$34</definedName>
    <definedName name="_xlnm.Print_Area" localSheetId="3">'小規模（事業所内）Ａ・Ｂ'!$A$1:$H$32</definedName>
    <definedName name="_xlnm.Print_Area" localSheetId="5">小規模Ｃ!$A$1:$H$29</definedName>
    <definedName name="_xlnm.Print_Area" localSheetId="2">認定こども園!$A$1:$L$57</definedName>
    <definedName name="_xlnm.Print_Area" localSheetId="1">保育所!$A$1:$L$44</definedName>
    <definedName name="_xlnm.Print_Area" localSheetId="0">幼稚園!$A$1:$H$44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6" l="1"/>
  <c r="K22" i="6"/>
  <c r="J22" i="6"/>
  <c r="F22" i="6"/>
  <c r="K20" i="5"/>
  <c r="J20" i="5"/>
  <c r="G22" i="5"/>
  <c r="G20" i="5"/>
  <c r="F20" i="5"/>
  <c r="G19" i="9" l="1"/>
  <c r="G18" i="9"/>
  <c r="I23" i="6"/>
  <c r="G22" i="6" l="1"/>
  <c r="H34" i="6"/>
  <c r="H35" i="6"/>
  <c r="I17" i="5"/>
  <c r="H31" i="5"/>
  <c r="H37" i="6" l="1"/>
  <c r="H36" i="6"/>
  <c r="K24" i="6"/>
  <c r="J24" i="6"/>
  <c r="I23" i="5"/>
  <c r="J22" i="5"/>
  <c r="K22" i="5" s="1"/>
  <c r="I21" i="5"/>
  <c r="F22" i="5"/>
  <c r="G17" i="9"/>
  <c r="F8" i="9"/>
  <c r="H29" i="5" l="1"/>
  <c r="H30" i="5"/>
  <c r="G22" i="9"/>
  <c r="G24" i="9" l="1"/>
  <c r="G9" i="8" l="1"/>
  <c r="G14" i="7" l="1"/>
  <c r="L31" i="6"/>
  <c r="L33" i="5" l="1"/>
  <c r="H33" i="5"/>
  <c r="G23" i="9" l="1"/>
  <c r="G21" i="9"/>
  <c r="G32" i="9"/>
  <c r="H21" i="10" l="1"/>
  <c r="H16" i="8"/>
  <c r="H19" i="7"/>
  <c r="H42" i="6"/>
  <c r="H32" i="5"/>
  <c r="I32" i="5"/>
  <c r="H20" i="5"/>
  <c r="G30" i="9"/>
  <c r="G29" i="9"/>
  <c r="I34" i="6" l="1"/>
  <c r="I26" i="6" l="1"/>
  <c r="I25" i="6"/>
  <c r="F7" i="6" l="1"/>
  <c r="L30" i="6"/>
  <c r="L24" i="6" l="1"/>
  <c r="G13" i="10" l="1"/>
  <c r="G14" i="10"/>
  <c r="H14" i="10" s="1"/>
  <c r="H13" i="10"/>
  <c r="G13" i="7"/>
  <c r="G12" i="7"/>
  <c r="G11" i="7"/>
  <c r="H11" i="7" s="1"/>
  <c r="G10" i="7"/>
  <c r="H10" i="7" s="1"/>
  <c r="J25" i="5"/>
  <c r="J24" i="5"/>
  <c r="L32" i="6" l="1"/>
  <c r="J7" i="6"/>
  <c r="J10" i="6"/>
  <c r="K46" i="6"/>
  <c r="L46" i="6" s="1"/>
  <c r="I33" i="6"/>
  <c r="H32" i="6"/>
  <c r="G24" i="6"/>
  <c r="J28" i="6"/>
  <c r="J27" i="6"/>
  <c r="H31" i="6" l="1"/>
  <c r="K28" i="6"/>
  <c r="L28" i="6" s="1"/>
  <c r="K27" i="6"/>
  <c r="L27" i="6" s="1"/>
  <c r="L22" i="6"/>
  <c r="G46" i="6"/>
  <c r="H46" i="6" s="1"/>
  <c r="H30" i="6" l="1"/>
  <c r="I45" i="6"/>
  <c r="I44" i="6"/>
  <c r="I43" i="6"/>
  <c r="I41" i="6"/>
  <c r="I40" i="6"/>
  <c r="I39" i="6"/>
  <c r="I38" i="6"/>
  <c r="I37" i="6"/>
  <c r="I36" i="6"/>
  <c r="I35" i="6"/>
  <c r="L47" i="6" l="1"/>
  <c r="L48" i="6" s="1"/>
  <c r="J6" i="6"/>
  <c r="K25" i="5"/>
  <c r="L25" i="5" s="1"/>
  <c r="K24" i="5"/>
  <c r="L24" i="5" s="1"/>
  <c r="L20" i="5"/>
  <c r="I31" i="5"/>
  <c r="I30" i="5"/>
  <c r="I29" i="5"/>
  <c r="I28" i="5"/>
  <c r="L27" i="5"/>
  <c r="J9" i="5"/>
  <c r="J7" i="5"/>
  <c r="L22" i="5" l="1"/>
  <c r="L26" i="5" s="1"/>
  <c r="L34" i="5" l="1"/>
  <c r="L35" i="5" s="1"/>
  <c r="G26" i="9"/>
  <c r="H23" i="10" l="1"/>
  <c r="H22" i="10" l="1"/>
  <c r="H19" i="10"/>
  <c r="F9" i="5"/>
  <c r="H45" i="6" l="1"/>
  <c r="H44" i="6"/>
  <c r="F24" i="6" l="1"/>
  <c r="H20" i="10" l="1"/>
  <c r="G16" i="10"/>
  <c r="H16" i="10" s="1"/>
  <c r="G17" i="10"/>
  <c r="H17" i="10" s="1"/>
  <c r="G15" i="10"/>
  <c r="H15" i="10" s="1"/>
  <c r="H18" i="10" s="1"/>
  <c r="H24" i="10" s="1"/>
  <c r="H25" i="10" l="1"/>
  <c r="G29" i="10" l="1"/>
  <c r="H29" i="10" s="1"/>
  <c r="H33" i="10" s="1"/>
  <c r="G28" i="10"/>
  <c r="H28" i="10" s="1"/>
  <c r="H32" i="10" l="1"/>
  <c r="H34" i="10" s="1"/>
  <c r="F28" i="6"/>
  <c r="F27" i="6"/>
  <c r="F10" i="6"/>
  <c r="F24" i="5" l="1"/>
  <c r="G24" i="5" s="1"/>
  <c r="H24" i="5" s="1"/>
  <c r="F25" i="5"/>
  <c r="H22" i="5" l="1"/>
  <c r="H26" i="5" s="1"/>
  <c r="G31" i="9" l="1"/>
  <c r="G28" i="9"/>
  <c r="G27" i="9"/>
  <c r="G25" i="9"/>
  <c r="G33" i="9" l="1"/>
  <c r="G34" i="9" s="1"/>
  <c r="G13" i="8"/>
  <c r="H13" i="8" s="1"/>
  <c r="G12" i="8"/>
  <c r="H12" i="8" s="1"/>
  <c r="H9" i="8"/>
  <c r="H17" i="8"/>
  <c r="H15" i="8"/>
  <c r="H14" i="7"/>
  <c r="H17" i="7"/>
  <c r="H20" i="7"/>
  <c r="H18" i="7"/>
  <c r="H13" i="7"/>
  <c r="H12" i="7"/>
  <c r="H43" i="6"/>
  <c r="H41" i="6"/>
  <c r="H40" i="6"/>
  <c r="H39" i="6"/>
  <c r="H33" i="6"/>
  <c r="H38" i="6"/>
  <c r="G28" i="6"/>
  <c r="H28" i="6" s="1"/>
  <c r="G27" i="6"/>
  <c r="H27" i="6" s="1"/>
  <c r="H24" i="6"/>
  <c r="H22" i="6"/>
  <c r="H29" i="6" s="1"/>
  <c r="H47" i="6" s="1"/>
  <c r="H48" i="6" s="1"/>
  <c r="H28" i="5"/>
  <c r="H27" i="5"/>
  <c r="G25" i="5"/>
  <c r="H25" i="5" s="1"/>
  <c r="G39" i="9" l="1"/>
  <c r="G43" i="9" s="1"/>
  <c r="G38" i="9"/>
  <c r="G42" i="9" s="1"/>
  <c r="H34" i="5"/>
  <c r="H35" i="5" s="1"/>
  <c r="G38" i="5" s="1"/>
  <c r="H38" i="5" s="1"/>
  <c r="H16" i="7"/>
  <c r="H22" i="7" s="1"/>
  <c r="H14" i="8"/>
  <c r="H19" i="8" s="1"/>
  <c r="H23" i="7" l="1"/>
  <c r="G27" i="7" s="1"/>
  <c r="G44" i="9"/>
  <c r="H20" i="8"/>
  <c r="G39" i="5" l="1"/>
  <c r="H39" i="5" s="1"/>
  <c r="H42" i="5"/>
  <c r="G24" i="8"/>
  <c r="H24" i="8" s="1"/>
  <c r="H28" i="8" s="1"/>
  <c r="G23" i="8"/>
  <c r="H23" i="8" s="1"/>
  <c r="H27" i="7"/>
  <c r="H31" i="7" s="1"/>
  <c r="G26" i="7"/>
  <c r="H26" i="7" l="1"/>
  <c r="H30" i="7" s="1"/>
  <c r="H32" i="7" s="1"/>
  <c r="H43" i="5"/>
  <c r="H44" i="5" s="1"/>
  <c r="H27" i="8"/>
  <c r="H29" i="8" s="1"/>
  <c r="G51" i="6" l="1"/>
  <c r="H51" i="6" s="1"/>
  <c r="H55" i="6" s="1"/>
  <c r="G52" i="6"/>
  <c r="H52" i="6" s="1"/>
  <c r="H56" i="6" s="1"/>
  <c r="H5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1"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2" authorId="0" shapeId="0" xr:uid="{00000000-0006-0000-0100-000001000000}">
      <text>
        <r>
          <rPr>
            <sz val="12"/>
            <color indexed="81"/>
            <rFont val="MS P ゴシック"/>
            <family val="3"/>
            <charset val="128"/>
          </rPr>
          <t>A：配置であること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5"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2" authorId="0" shapeId="0" xr:uid="{00000000-0006-0000-0200-000002000000}">
      <text>
        <r>
          <rPr>
            <sz val="12"/>
            <color indexed="81"/>
            <rFont val="MS P ゴシック"/>
            <family val="3"/>
            <charset val="128"/>
          </rPr>
          <t>A[配置」であること</t>
        </r>
      </text>
    </comment>
    <comment ref="F44" authorId="0" shapeId="0" xr:uid="{00000000-0006-0000-0200-000003000000}">
      <text>
        <r>
          <rPr>
            <sz val="12"/>
            <color indexed="81"/>
            <rFont val="MS P ゴシック"/>
            <family val="3"/>
            <charset val="128"/>
          </rPr>
          <t>「必要代替保育教諭等数－配置代替保育教諭等数」
の値を入力</t>
        </r>
      </text>
    </comment>
    <comment ref="F45" authorId="0" shapeId="0" xr:uid="{00000000-0006-0000-0200-000004000000}">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00000000-0006-0000-0300-000001000000}">
      <text>
        <r>
          <rPr>
            <sz val="12"/>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400-000001000000}">
      <text>
        <r>
          <rPr>
            <sz val="12"/>
            <color indexed="81"/>
            <rFont val="MS P ゴシック"/>
            <family val="3"/>
            <charset val="128"/>
          </rPr>
          <t>A「配置」であること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<sst xmlns="http://schemas.openxmlformats.org/spreadsheetml/2006/main" count="352" uniqueCount="135">
  <si>
    <t>処遇改善等加算Ⅱ　加算対象職員数計算表（幼稚園）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ヨウチエン</t>
    </rPh>
    <phoneticPr fontId="1"/>
  </si>
  <si>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</si>
  <si>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</si>
  <si>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</si>
  <si>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</si>
  <si>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</si>
  <si>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</si>
  <si>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</si>
  <si>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</si>
  <si>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</si>
  <si>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</si>
  <si>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</si>
  <si>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</si>
  <si>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</si>
  <si>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</si>
  <si>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</si>
  <si>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</si>
  <si>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</si>
  <si>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</si>
  <si>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</si>
  <si>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</si>
  <si>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</si>
  <si>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</si>
  <si>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</si>
  <si>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</si>
  <si>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</si>
  <si>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</si>
  <si>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</si>
  <si>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</si>
  <si>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</si>
  <si>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</si>
  <si>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</si>
  <si>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</si>
  <si>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</si>
  <si>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</si>
  <si>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</si>
  <si>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</si>
  <si>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</si>
  <si>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</si>
  <si>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</si>
  <si>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</si>
  <si>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</si>
  <si>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年齢別配置基準</t>
    <rPh sb="0" eb="2">
      <t>ネンレイ</t>
    </rPh>
    <rPh sb="2" eb="3">
      <t>ベツ</t>
    </rPh>
    <rPh sb="3" eb="5">
      <t>ハイチ</t>
    </rPh>
    <rPh sb="5" eb="7">
      <t>キジュン</t>
    </rPh>
    <phoneticPr fontId="1"/>
  </si>
  <si>
    <t>満たさない</t>
  </si>
  <si>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</si>
  <si>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</si>
  <si>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</si>
  <si>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</si>
  <si>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</si>
  <si>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</si>
  <si>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</si>
  <si>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</si>
  <si>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</si>
  <si>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</si>
  <si>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</si>
  <si>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</si>
  <si>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</si>
  <si>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</si>
  <si>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</si>
  <si>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</si>
  <si>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</si>
  <si>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</si>
  <si>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</si>
  <si>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</si>
  <si>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</si>
  <si>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</si>
  <si>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</si>
  <si>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</si>
  <si>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</si>
  <si>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</si>
  <si>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</si>
  <si>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</si>
  <si>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</si>
  <si>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</si>
  <si>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</si>
  <si>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</si>
  <si>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</si>
  <si>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</si>
  <si>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</si>
  <si>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</si>
  <si>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</si>
  <si>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</si>
  <si>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</si>
  <si>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</si>
  <si>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</si>
  <si>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</si>
  <si>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</si>
  <si>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</si>
  <si>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</si>
  <si>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</si>
  <si>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</si>
  <si>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</si>
  <si>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</si>
  <si>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</si>
  <si>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</si>
  <si>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</si>
  <si>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</si>
  <si>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</si>
  <si>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</si>
  <si>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</si>
  <si>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</si>
  <si>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</si>
  <si>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</si>
  <si>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</si>
  <si>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副園長・教頭加配加算</t>
    <rPh sb="0" eb="3">
      <t>フクエンチョウ</t>
    </rPh>
    <rPh sb="4" eb="6">
      <t>キョウトウ</t>
    </rPh>
    <rPh sb="6" eb="8">
      <t>カハイ</t>
    </rPh>
    <rPh sb="8" eb="10">
      <t>カサン</t>
    </rPh>
    <phoneticPr fontId="1"/>
  </si>
  <si>
    <t>p</t>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</si>
  <si>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</si>
  <si>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該当</t>
  </si>
  <si>
    <t>q</t>
    <phoneticPr fontId="1"/>
  </si>
  <si>
    <t>年齢別配置基準を下回る場合</t>
    <rPh sb="0" eb="3">
      <t>ネンレイベツ</t>
    </rPh>
    <rPh sb="3" eb="7">
      <t>ハイキ</t>
    </rPh>
    <rPh sb="8" eb="10">
      <t>シタマワ</t>
    </rPh>
    <rPh sb="11" eb="13">
      <t>バアイ</t>
    </rPh>
    <phoneticPr fontId="1"/>
  </si>
  <si>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1"/>
  </si>
  <si>
    <t>（小規模保育所A型、Ｂ型）</t>
  </si>
  <si>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6"/>
  </si>
  <si>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6"/>
  </si>
  <si>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6"/>
  </si>
  <si>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</si>
  <si>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</si>
  <si>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</si>
  <si>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</si>
  <si>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</si>
  <si>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t>（事業所内保育所　定員２０人以上）</t>
    <rPh sb="1" eb="4">
      <t>ジギョウショ</t>
    </rPh>
    <rPh sb="4" eb="5">
      <t>ナイ</t>
    </rPh>
    <rPh sb="9" eb="11">
      <t>テイイン</t>
    </rPh>
    <rPh sb="13" eb="16">
      <t>ニンイジョウ</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</si>
  <si>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</si>
  <si>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</si>
  <si>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</si>
  <si>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（小規模保育所Ｃ型）</t>
    <phoneticPr fontId="1"/>
  </si>
  <si>
    <r>
      <t xml:space="preserve"> 児童数</t>
    </r>
    <r>
      <rPr>
        <sz val="11"/>
        <color rgb="FFFF0000"/>
        <rFont val="HG丸ｺﾞｼｯｸM-PRO"/>
        <family val="3"/>
        <charset val="128"/>
      </rPr>
      <t>（特例給付対象児童含む）</t>
    </r>
    <rPh sb="1" eb="4">
      <t>ジドウスウ</t>
    </rPh>
    <phoneticPr fontId="1"/>
  </si>
  <si>
    <t>　家庭的補助者配置</t>
    <rPh sb="1" eb="4">
      <t>カテイテキ</t>
    </rPh>
    <rPh sb="4" eb="7">
      <t>ホジョシャ</t>
    </rPh>
    <rPh sb="7" eb="9">
      <t>ハイチ</t>
    </rPh>
    <phoneticPr fontId="1"/>
  </si>
  <si>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</si>
  <si>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</si>
  <si>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</si>
  <si>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</si>
  <si>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</si>
  <si>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</si>
  <si>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</si>
  <si>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（事業所内保育所　定員６人以上　小規模A型、Ｂ型適用）</t>
    <rPh sb="1" eb="4">
      <t>ジギョウショ</t>
    </rPh>
    <rPh sb="4" eb="5">
      <t>ナイ</t>
    </rPh>
    <rPh sb="9" eb="11">
      <t>テイイン</t>
    </rPh>
    <rPh sb="12" eb="13">
      <t>ニン</t>
    </rPh>
    <rPh sb="13" eb="15">
      <t>イジョウ</t>
    </rPh>
    <rPh sb="16" eb="19">
      <t>ショウキボ</t>
    </rPh>
    <rPh sb="24" eb="26">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</si>
</sst>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28">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91"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7" xfId="0" applyFont="1" applyBorder="1" applyProtection="1">
      <alignment vertical="center"/>
      <protection locked="0"/>
    </xf>
    <xf numFmtId="0" fontId="5" fillId="0" borderId="88" xfId="0" applyFont="1" applyBorder="1" applyProtection="1">
      <alignment vertical="center"/>
      <protection locked="0"/>
    </xf>
    <xf numFmtId="0" fontId="5" fillId="0" borderId="90" xfId="0" applyFont="1" applyBorder="1" applyProtection="1">
      <alignment vertical="center"/>
      <protection locked="0"/>
    </xf>
    <xf numFmtId="176" fontId="5" fillId="0" borderId="81"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80"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3" fillId="0" borderId="13" xfId="0" applyNumberFormat="1" applyFont="1" applyBorder="1" applyProtection="1">
      <alignment vertical="center"/>
      <protection locked="0"/>
    </xf>
    <xf numFmtId="0" fontId="14" fillId="0" borderId="92" xfId="0" applyFont="1" applyBorder="1" applyProtection="1">
      <alignment vertical="center"/>
      <protection locked="0"/>
    </xf>
    <xf numFmtId="38" fontId="14" fillId="0" borderId="93" xfId="1" applyFont="1" applyBorder="1" applyProtection="1">
      <alignment vertical="center"/>
      <protection locked="0"/>
    </xf>
    <xf numFmtId="0" fontId="14" fillId="0" borderId="93" xfId="0" applyFont="1" applyBorder="1" applyProtection="1">
      <alignment vertical="center"/>
      <protection locked="0"/>
    </xf>
    <xf numFmtId="176" fontId="23" fillId="0" borderId="93" xfId="0" applyNumberFormat="1" applyFont="1" applyBorder="1" applyProtection="1">
      <alignment vertical="center"/>
      <protection locked="0"/>
    </xf>
    <xf numFmtId="0" fontId="23"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3" fillId="0" borderId="62" xfId="0" applyFont="1" applyBorder="1" applyProtection="1">
      <alignment vertical="center"/>
      <protection locked="0"/>
    </xf>
    <xf numFmtId="176" fontId="23"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9" xfId="0" applyNumberFormat="1" applyFont="1" applyBorder="1">
      <alignment vertical="center"/>
    </xf>
    <xf numFmtId="177" fontId="5" fillId="3" borderId="81"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6" fontId="6"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3" fillId="0" borderId="13" xfId="0" applyNumberFormat="1" applyFont="1" applyBorder="1">
      <alignment vertical="center"/>
    </xf>
    <xf numFmtId="38" fontId="18" fillId="3" borderId="1" xfId="1" applyFont="1" applyFill="1" applyBorder="1" applyAlignment="1" applyProtection="1">
      <alignment vertical="center"/>
    </xf>
    <xf numFmtId="176" fontId="23" fillId="0" borderId="93" xfId="0" applyNumberFormat="1" applyFont="1" applyBorder="1">
      <alignment vertical="center"/>
    </xf>
    <xf numFmtId="38" fontId="18" fillId="3" borderId="91" xfId="1" applyFont="1" applyFill="1" applyBorder="1" applyAlignment="1" applyProtection="1">
      <alignment vertical="center"/>
    </xf>
    <xf numFmtId="176" fontId="23" fillId="0" borderId="62" xfId="0" applyNumberFormat="1" applyFont="1" applyBorder="1">
      <alignment vertical="center"/>
    </xf>
    <xf numFmtId="38" fontId="23" fillId="3" borderId="3" xfId="1" applyFont="1" applyFill="1" applyBorder="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6"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3" xfId="0" applyFont="1" applyBorder="1" applyProtection="1">
      <alignment vertical="center"/>
      <protection locked="0"/>
    </xf>
    <xf numFmtId="176" fontId="5" fillId="0" borderId="93"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6"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6" xfId="0" applyNumberFormat="1" applyFont="1" applyFill="1" applyBorder="1">
      <alignment vertical="center"/>
    </xf>
    <xf numFmtId="177" fontId="5" fillId="0" borderId="81"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2" xfId="0" applyFont="1" applyFill="1" applyBorder="1" applyAlignment="1" applyProtection="1">
      <alignment horizontal="right" vertical="center"/>
      <protection locked="0"/>
    </xf>
    <xf numFmtId="0" fontId="5" fillId="5" borderId="68" xfId="0" applyFont="1" applyFill="1" applyBorder="1" applyAlignment="1" applyProtection="1">
      <alignment horizontal="right" vertical="center"/>
      <protection locked="0"/>
    </xf>
    <xf numFmtId="0" fontId="5" fillId="0" borderId="77"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9"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1" fillId="0" borderId="98"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88"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3" fillId="0" borderId="13" xfId="1" applyFont="1" applyBorder="1" applyProtection="1">
      <alignment vertical="center"/>
      <protection locked="0"/>
    </xf>
    <xf numFmtId="38" fontId="14" fillId="0" borderId="92" xfId="1" applyFont="1" applyBorder="1" applyProtection="1">
      <alignment vertical="center"/>
      <protection locked="0"/>
    </xf>
    <xf numFmtId="38" fontId="14" fillId="0" borderId="93" xfId="1" applyFont="1" applyFill="1" applyBorder="1" applyProtection="1">
      <alignment vertical="center"/>
      <protection locked="0"/>
    </xf>
    <xf numFmtId="38" fontId="23" fillId="0" borderId="93" xfId="1" applyFont="1" applyBorder="1" applyProtection="1">
      <alignment vertical="center"/>
      <protection locked="0"/>
    </xf>
    <xf numFmtId="38" fontId="23"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3" fillId="0" borderId="62" xfId="1" applyFont="1" applyBorder="1" applyProtection="1">
      <alignment vertical="center"/>
      <protection locked="0"/>
    </xf>
    <xf numFmtId="176" fontId="5" fillId="2" borderId="103" xfId="0" applyNumberFormat="1" applyFont="1" applyFill="1" applyBorder="1" applyAlignment="1">
      <alignment horizontal="right" vertical="center"/>
    </xf>
    <xf numFmtId="0" fontId="5" fillId="2" borderId="103" xfId="0" applyFont="1" applyFill="1" applyBorder="1" applyAlignment="1">
      <alignment horizontal="right" vertical="center"/>
    </xf>
    <xf numFmtId="176" fontId="21" fillId="2" borderId="97" xfId="0" applyNumberFormat="1" applyFont="1" applyFill="1" applyBorder="1" applyAlignment="1">
      <alignment horizontal="right" vertical="center"/>
    </xf>
    <xf numFmtId="176" fontId="21" fillId="2" borderId="98" xfId="0" applyNumberFormat="1" applyFont="1" applyFill="1" applyBorder="1" applyAlignment="1">
      <alignment horizontal="right" vertical="center"/>
    </xf>
    <xf numFmtId="176" fontId="21" fillId="2" borderId="101" xfId="0" applyNumberFormat="1" applyFont="1" applyFill="1" applyBorder="1" applyAlignment="1">
      <alignment horizontal="right" vertical="center"/>
    </xf>
    <xf numFmtId="176" fontId="21" fillId="2" borderId="99"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1" fillId="2" borderId="89"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5" xfId="0" applyNumberFormat="1" applyFont="1" applyBorder="1" applyProtection="1">
      <alignment vertical="center"/>
      <protection locked="0"/>
    </xf>
    <xf numFmtId="0" fontId="5" fillId="0" borderId="86"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3"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5"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2"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71" xfId="0" applyFont="1" applyBorder="1" applyProtection="1">
      <alignment vertical="center"/>
      <protection locked="0"/>
    </xf>
    <xf numFmtId="0" fontId="5" fillId="0" borderId="63" xfId="0" applyFont="1" applyBorder="1" applyProtection="1">
      <alignment vertical="center"/>
      <protection locked="0"/>
    </xf>
    <xf numFmtId="0" fontId="5" fillId="0" borderId="42" xfId="0" applyFont="1" applyBorder="1" applyAlignment="1" applyProtection="1">
      <alignment horizontal="center" vertical="center"/>
      <protection locked="0"/>
    </xf>
    <xf numFmtId="181" fontId="5" fillId="5" borderId="39" xfId="0" applyNumberFormat="1" applyFont="1" applyFill="1" applyBorder="1" applyAlignment="1" applyProtection="1">
      <alignment horizontal="righ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176" fontId="14" fillId="0" borderId="13" xfId="0" applyNumberFormat="1" applyFont="1" applyBorder="1" applyProtection="1">
      <alignment vertical="center"/>
      <protection locked="0"/>
    </xf>
    <xf numFmtId="176" fontId="14" fillId="0" borderId="93" xfId="0" applyNumberFormat="1" applyFont="1" applyBorder="1" applyProtection="1">
      <alignment vertical="center"/>
      <protection locked="0"/>
    </xf>
    <xf numFmtId="0" fontId="5" fillId="2" borderId="76"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8" xfId="0" applyNumberFormat="1" applyFont="1" applyFill="1" applyBorder="1">
      <alignment vertical="center"/>
    </xf>
    <xf numFmtId="180" fontId="5" fillId="3" borderId="69" xfId="0" applyNumberFormat="1" applyFont="1" applyFill="1" applyBorder="1">
      <alignment vertical="center"/>
    </xf>
    <xf numFmtId="177" fontId="5" fillId="3" borderId="70"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5"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6"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6"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8" xfId="0" applyNumberFormat="1" applyFont="1" applyBorder="1" applyAlignment="1" applyProtection="1">
      <alignment horizontal="center" vertical="center"/>
      <protection locked="0"/>
    </xf>
    <xf numFmtId="0" fontId="0" fillId="0" borderId="81" xfId="0" applyBorder="1" applyProtection="1">
      <alignment vertical="center"/>
      <protection locked="0"/>
    </xf>
    <xf numFmtId="0" fontId="0" fillId="0" borderId="89"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7"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8"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9" xfId="0"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7" xfId="0" applyFont="1" applyBorder="1" applyProtection="1">
      <alignment vertical="center"/>
      <protection locked="0"/>
    </xf>
    <xf numFmtId="0" fontId="5" fillId="0" borderId="108" xfId="0" applyFont="1" applyBorder="1" applyProtection="1">
      <alignment vertical="center"/>
      <protection locked="0"/>
    </xf>
    <xf numFmtId="0" fontId="5" fillId="0" borderId="112"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3" xfId="0" applyNumberFormat="1" applyFont="1" applyBorder="1" applyAlignment="1" applyProtection="1">
      <alignment horizontal="right" vertical="center"/>
      <protection locked="0"/>
    </xf>
    <xf numFmtId="176" fontId="6" fillId="0" borderId="110"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109"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5"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2"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115"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6" xfId="0" applyNumberFormat="1" applyFont="1" applyBorder="1" applyAlignment="1" applyProtection="1">
      <alignment horizontal="right" vertical="center"/>
      <protection locked="0"/>
    </xf>
    <xf numFmtId="177" fontId="5" fillId="3" borderId="75"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7" xfId="0" applyFont="1" applyBorder="1" applyProtection="1">
      <alignment vertical="center"/>
      <protection locked="0"/>
    </xf>
    <xf numFmtId="177" fontId="5" fillId="3" borderId="76"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180" fontId="5" fillId="3" borderId="67" xfId="0" applyNumberFormat="1" applyFont="1" applyFill="1" applyBorder="1">
      <alignment vertical="center"/>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3" fillId="0" borderId="62" xfId="0" applyFont="1" applyBorder="1" applyAlignment="1" applyProtection="1">
      <alignment horizontal="center" vertical="center"/>
      <protection locked="0"/>
    </xf>
    <xf numFmtId="3" fontId="14" fillId="0" borderId="13" xfId="0" applyNumberFormat="1" applyFont="1" applyBorder="1" applyProtection="1">
      <alignment vertical="center"/>
      <protection locked="0"/>
    </xf>
    <xf numFmtId="3" fontId="14" fillId="0" borderId="93" xfId="0" applyNumberFormat="1" applyFont="1" applyBorder="1" applyProtection="1">
      <alignment vertical="center"/>
      <protection locked="0"/>
    </xf>
    <xf numFmtId="176" fontId="14" fillId="3" borderId="1" xfId="0" applyNumberFormat="1" applyFont="1" applyFill="1" applyBorder="1">
      <alignment vertical="center"/>
    </xf>
    <xf numFmtId="0" fontId="5" fillId="4" borderId="121"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22"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23"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23" xfId="0" applyNumberFormat="1" applyFont="1" applyBorder="1" applyProtection="1">
      <alignment vertical="center"/>
      <protection locked="0"/>
    </xf>
    <xf numFmtId="177" fontId="19" fillId="2" borderId="124" xfId="0" applyNumberFormat="1" applyFont="1" applyFill="1" applyBorder="1">
      <alignment vertical="center"/>
    </xf>
    <xf numFmtId="0" fontId="5" fillId="0" borderId="125" xfId="0" applyFont="1" applyBorder="1" applyProtection="1">
      <alignment vertical="center"/>
      <protection locked="0"/>
    </xf>
    <xf numFmtId="0" fontId="5" fillId="0" borderId="116" xfId="0" applyFont="1" applyBorder="1" applyProtection="1">
      <alignment vertical="center"/>
      <protection locked="0"/>
    </xf>
    <xf numFmtId="177" fontId="8" fillId="3" borderId="75" xfId="0" applyNumberFormat="1" applyFont="1" applyFill="1" applyBorder="1">
      <alignment vertical="center"/>
    </xf>
    <xf numFmtId="176" fontId="21" fillId="0" borderId="101" xfId="0" applyNumberFormat="1" applyFont="1" applyFill="1" applyBorder="1" applyAlignment="1">
      <alignment horizontal="right" vertical="center"/>
    </xf>
    <xf numFmtId="178" fontId="10" fillId="0" borderId="55" xfId="0" applyNumberFormat="1" applyFont="1" applyFill="1" applyBorder="1">
      <alignment vertical="center"/>
    </xf>
    <xf numFmtId="177" fontId="13" fillId="0" borderId="56"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5" xfId="0" applyBorder="1" applyProtection="1">
      <alignment vertical="center"/>
      <protection locked="0"/>
    </xf>
    <xf numFmtId="176" fontId="21" fillId="2" borderId="126"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7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34"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177" fontId="19" fillId="2" borderId="64" xfId="0" applyNumberFormat="1" applyFont="1" applyFill="1" applyBorder="1" applyAlignment="1">
      <alignment horizontal="right" vertical="center"/>
    </xf>
    <xf numFmtId="177" fontId="19" fillId="2" borderId="65" xfId="0" applyNumberFormat="1" applyFont="1" applyFill="1" applyBorder="1" applyAlignment="1">
      <alignment horizontal="right" vertical="center"/>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10"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5" fillId="0" borderId="11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8" fillId="0" borderId="89" xfId="0" applyFont="1" applyBorder="1" applyAlignment="1" applyProtection="1">
      <alignment vertical="center"/>
      <protection locked="0"/>
    </xf>
    <xf numFmtId="0" fontId="8" fillId="0" borderId="88" xfId="0" applyFont="1" applyBorder="1" applyAlignment="1" applyProtection="1">
      <alignment vertical="center"/>
      <protection locked="0"/>
    </xf>
    <xf numFmtId="0" fontId="8" fillId="0" borderId="120" xfId="0" applyFont="1" applyBorder="1" applyAlignment="1" applyProtection="1">
      <alignmen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8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5"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14" fillId="0" borderId="80" xfId="0" applyFont="1" applyBorder="1" applyAlignment="1" applyProtection="1">
      <alignment horizontal="left" vertical="center"/>
      <protection locked="0"/>
    </xf>
    <xf numFmtId="0" fontId="14" fillId="0" borderId="82" xfId="0" applyFont="1" applyBorder="1" applyAlignment="1" applyProtection="1">
      <alignment horizontal="left" vertical="center"/>
      <protection locked="0"/>
    </xf>
    <xf numFmtId="0" fontId="14" fillId="0" borderId="100" xfId="0" applyFont="1" applyBorder="1" applyAlignment="1" applyProtection="1">
      <alignment horizontal="left" vertical="center"/>
      <protection locked="0"/>
    </xf>
    <xf numFmtId="176" fontId="5" fillId="0" borderId="22" xfId="0" applyNumberFormat="1" applyFont="1" applyBorder="1" applyAlignment="1">
      <alignment horizontal="center" vertical="center"/>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4"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4"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zoomScaleNormal="100" workbookViewId="0">
      <selection sqref="A1:H1"/>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0.19921875" style="9" customWidth="1"/>
    <col min="7" max="7" width="15.5" style="10" customWidth="1"/>
    <col min="8" max="8" width="14.19921875" style="10" customWidth="1"/>
    <col min="9" max="9" width="12.09765625" style="10" customWidth="1"/>
    <col min="10" max="10" width="29" style="10" customWidth="1"/>
    <col min="11" max="16384" width="9" style="11"/>
  </cols>
  <sheetData>
    <row r="1" spans="1:10" s="8" customFormat="1" ht="31.5" customHeight="1">
      <c r="A1" s="339" t="s">
        <v>0</v>
      </c>
      <c r="B1" s="339"/>
      <c r="C1" s="339"/>
      <c r="D1" s="339"/>
      <c r="E1" s="339"/>
      <c r="F1" s="339"/>
      <c r="G1" s="339"/>
      <c r="H1" s="339"/>
      <c r="I1" s="7"/>
      <c r="J1" s="7"/>
    </row>
    <row r="2" spans="1:10" ht="19.5" customHeight="1" thickBot="1">
      <c r="A2" s="9"/>
    </row>
    <row r="3" spans="1:10" ht="19.5" customHeight="1" thickBot="1">
      <c r="A3" s="9"/>
      <c r="C3" s="12" t="s">
        <v>1</v>
      </c>
      <c r="D3" s="12"/>
      <c r="E3" s="336" t="s">
        <v>2</v>
      </c>
      <c r="F3" s="337"/>
      <c r="G3" s="338"/>
      <c r="H3" s="9"/>
      <c r="J3" s="11"/>
    </row>
    <row r="4" spans="1:10" ht="19.5" customHeight="1">
      <c r="A4" s="9"/>
      <c r="C4" s="12"/>
      <c r="D4" s="12"/>
      <c r="E4" s="12"/>
      <c r="F4" s="12"/>
      <c r="G4" s="12"/>
      <c r="H4" s="12"/>
      <c r="J4" s="11"/>
    </row>
    <row r="5" spans="1:10" ht="19.5" customHeight="1" thickBot="1">
      <c r="A5" s="13" t="s">
        <v>3</v>
      </c>
      <c r="C5" s="12"/>
      <c r="D5" s="12"/>
      <c r="E5" s="12"/>
      <c r="F5" s="12"/>
      <c r="G5" s="12"/>
      <c r="H5" s="12"/>
      <c r="J5" s="11"/>
    </row>
    <row r="6" spans="1:10" ht="19.5" customHeight="1">
      <c r="A6" s="13"/>
      <c r="B6" s="344"/>
      <c r="C6" s="345"/>
      <c r="D6" s="345"/>
      <c r="E6" s="345"/>
      <c r="F6" s="197" t="s">
        <v>4</v>
      </c>
      <c r="G6" s="12"/>
      <c r="H6" s="12"/>
      <c r="I6" s="12"/>
    </row>
    <row r="7" spans="1:10" ht="19.5" customHeight="1">
      <c r="A7" s="13"/>
      <c r="B7" s="342" t="s">
        <v>5</v>
      </c>
      <c r="C7" s="343"/>
      <c r="D7" s="343"/>
      <c r="E7" s="343"/>
      <c r="F7" s="198">
        <v>160</v>
      </c>
      <c r="G7" s="12"/>
      <c r="H7" s="12"/>
      <c r="I7" s="12"/>
    </row>
    <row r="8" spans="1:10" ht="19.5" customHeight="1">
      <c r="A8" s="13"/>
      <c r="B8" s="340" t="s">
        <v>6</v>
      </c>
      <c r="C8" s="341"/>
      <c r="D8" s="341"/>
      <c r="E8" s="341"/>
      <c r="F8" s="218">
        <f>F9+F10</f>
        <v>160</v>
      </c>
      <c r="G8" s="12"/>
      <c r="H8" s="12"/>
      <c r="I8" s="12"/>
    </row>
    <row r="9" spans="1:10" ht="19.5" customHeight="1">
      <c r="A9" s="13"/>
      <c r="B9" s="132"/>
      <c r="C9" s="332" t="s">
        <v>7</v>
      </c>
      <c r="D9" s="333"/>
      <c r="E9" s="333"/>
      <c r="F9" s="135">
        <v>80</v>
      </c>
      <c r="G9" s="12"/>
      <c r="H9" s="12"/>
      <c r="I9" s="12"/>
    </row>
    <row r="10" spans="1:10" ht="19.5" customHeight="1">
      <c r="A10" s="13"/>
      <c r="B10" s="132"/>
      <c r="C10" s="332" t="s">
        <v>8</v>
      </c>
      <c r="D10" s="333"/>
      <c r="E10" s="333"/>
      <c r="F10" s="135">
        <v>80</v>
      </c>
      <c r="G10" s="12"/>
      <c r="H10" s="12"/>
      <c r="I10" s="12"/>
    </row>
    <row r="11" spans="1:10" ht="19.5" customHeight="1" thickBot="1">
      <c r="A11" s="13"/>
      <c r="B11" s="199"/>
      <c r="C11" s="334" t="s">
        <v>9</v>
      </c>
      <c r="D11" s="335"/>
      <c r="E11" s="335"/>
      <c r="F11" s="139">
        <v>40</v>
      </c>
      <c r="G11" s="12"/>
      <c r="H11" s="12"/>
      <c r="I11" s="12"/>
    </row>
    <row r="12" spans="1:10" ht="22.5" customHeight="1">
      <c r="A12" s="13"/>
      <c r="B12" s="140" t="s">
        <v>10</v>
      </c>
      <c r="C12" s="346" t="s">
        <v>11</v>
      </c>
      <c r="D12" s="346"/>
      <c r="E12" s="346"/>
      <c r="F12" s="346"/>
      <c r="G12" s="346"/>
      <c r="H12" s="12"/>
      <c r="I12" s="12"/>
    </row>
    <row r="13" spans="1:10" ht="22.5" customHeight="1">
      <c r="A13" s="9"/>
      <c r="B13" s="140"/>
      <c r="C13" s="346"/>
      <c r="D13" s="346"/>
      <c r="E13" s="346"/>
      <c r="F13" s="346"/>
      <c r="G13" s="346"/>
      <c r="H13" s="12"/>
      <c r="J13" s="11"/>
    </row>
    <row r="14" spans="1:10" ht="24" customHeight="1">
      <c r="B14" s="41"/>
      <c r="F14" s="10"/>
      <c r="G14" s="42"/>
      <c r="H14" s="43"/>
      <c r="J14" s="11"/>
    </row>
    <row r="15" spans="1:10" ht="19.5" customHeight="1" thickBot="1">
      <c r="A15" s="13" t="s">
        <v>12</v>
      </c>
      <c r="F15" s="10"/>
      <c r="J15" s="11"/>
    </row>
    <row r="16" spans="1:10" ht="33.75" customHeight="1">
      <c r="B16" s="200"/>
      <c r="C16" s="347"/>
      <c r="D16" s="348"/>
      <c r="E16" s="201" t="s">
        <v>13</v>
      </c>
      <c r="F16" s="202" t="s">
        <v>14</v>
      </c>
      <c r="G16" s="219" t="s">
        <v>15</v>
      </c>
      <c r="H16" s="11"/>
      <c r="I16" s="11"/>
      <c r="J16" s="11"/>
    </row>
    <row r="17" spans="2:10" ht="24" customHeight="1">
      <c r="B17" s="203" t="s">
        <v>16</v>
      </c>
      <c r="C17" s="343" t="s">
        <v>17</v>
      </c>
      <c r="D17" s="349"/>
      <c r="E17" s="322"/>
      <c r="F17" s="323"/>
      <c r="G17" s="324">
        <f>ROUND(SUM($G$18:$G$20),0)</f>
        <v>12</v>
      </c>
      <c r="H17" s="11"/>
      <c r="I17" s="11"/>
      <c r="J17" s="11"/>
    </row>
    <row r="18" spans="2:10" ht="24" customHeight="1">
      <c r="B18" s="204"/>
      <c r="C18" s="354" t="s">
        <v>130</v>
      </c>
      <c r="D18" s="355"/>
      <c r="E18" s="92" t="s">
        <v>19</v>
      </c>
      <c r="F18" s="205"/>
      <c r="G18" s="321">
        <f>IF($E$18="あり",ROUNDDOWN(($F$9)*1/25,1),ROUNDDOWN($F$9*1/30,1))</f>
        <v>3.2</v>
      </c>
      <c r="H18" s="11"/>
      <c r="I18" s="11"/>
      <c r="J18" s="11"/>
    </row>
    <row r="19" spans="2:10" ht="24" customHeight="1">
      <c r="B19" s="204"/>
      <c r="C19" s="350" t="s">
        <v>18</v>
      </c>
      <c r="D19" s="351"/>
      <c r="E19" s="92" t="s">
        <v>19</v>
      </c>
      <c r="F19" s="205"/>
      <c r="G19" s="356">
        <f>IF($E$19="あり",IF($E$20="あり",ROUNDDOWN(($F$10-$F$11)*1/15,1)+ROUNDDOWN($F$11*1/6,1),ROUNDDOWN($F$10*1/15,1)),IF($E$20="あり",ROUNDDOWN(($F$10-$F$11)*1/20,1)+ROUNDDOWN($F$11*1/6,1),ROUNDDOWN($F$10*1/20,1)))</f>
        <v>9.1999999999999993</v>
      </c>
      <c r="H19" s="25"/>
      <c r="I19" s="11"/>
      <c r="J19" s="11"/>
    </row>
    <row r="20" spans="2:10" ht="24" customHeight="1">
      <c r="B20" s="204"/>
      <c r="C20" s="352" t="s">
        <v>20</v>
      </c>
      <c r="D20" s="353"/>
      <c r="E20" s="206" t="s">
        <v>19</v>
      </c>
      <c r="F20" s="207"/>
      <c r="G20" s="357"/>
      <c r="H20" s="25"/>
      <c r="I20" s="11"/>
      <c r="J20" s="11"/>
    </row>
    <row r="21" spans="2:10" ht="24" customHeight="1">
      <c r="B21" s="288" t="s">
        <v>21</v>
      </c>
      <c r="C21" s="358" t="s">
        <v>22</v>
      </c>
      <c r="D21" s="359"/>
      <c r="E21" s="4" t="s">
        <v>19</v>
      </c>
      <c r="F21" s="289"/>
      <c r="G21" s="290">
        <f>IF(E21="あり",0.8,0)</f>
        <v>0.8</v>
      </c>
      <c r="H21" s="25"/>
      <c r="I21" s="11"/>
      <c r="J21" s="11"/>
    </row>
    <row r="22" spans="2:10" ht="24" customHeight="1">
      <c r="B22" s="288" t="s">
        <v>23</v>
      </c>
      <c r="C22" s="358" t="s">
        <v>24</v>
      </c>
      <c r="D22" s="359"/>
      <c r="E22" s="4" t="s">
        <v>19</v>
      </c>
      <c r="F22" s="291">
        <v>4</v>
      </c>
      <c r="G22" s="290">
        <f>IF(E22="あり",F22,0)</f>
        <v>4</v>
      </c>
      <c r="H22" s="11"/>
      <c r="I22" s="11"/>
      <c r="J22" s="11"/>
    </row>
    <row r="23" spans="2:10" ht="24" customHeight="1">
      <c r="B23" s="203" t="s">
        <v>25</v>
      </c>
      <c r="C23" s="358" t="s">
        <v>26</v>
      </c>
      <c r="D23" s="359"/>
      <c r="E23" s="292" t="s">
        <v>19</v>
      </c>
      <c r="F23" s="293"/>
      <c r="G23" s="294">
        <f>IF(E23="あり",IF(F7&gt;=151,1.5,0.8),0)</f>
        <v>1.5</v>
      </c>
      <c r="H23" s="11"/>
      <c r="I23" s="11"/>
      <c r="J23" s="11"/>
    </row>
    <row r="24" spans="2:10" ht="24" customHeight="1">
      <c r="B24" s="203" t="s">
        <v>27</v>
      </c>
      <c r="C24" s="360" t="s">
        <v>28</v>
      </c>
      <c r="D24" s="361"/>
      <c r="E24" s="4" t="s">
        <v>19</v>
      </c>
      <c r="F24" s="293"/>
      <c r="G24" s="220">
        <f>IF(E24="あり",IF(F7&gt;=151,3,2),0)</f>
        <v>3</v>
      </c>
      <c r="H24" s="11"/>
      <c r="I24" s="11"/>
      <c r="J24" s="11"/>
    </row>
    <row r="25" spans="2:10" ht="24" customHeight="1">
      <c r="B25" s="288" t="s">
        <v>29</v>
      </c>
      <c r="C25" s="358" t="s">
        <v>30</v>
      </c>
      <c r="D25" s="359"/>
      <c r="E25" s="4" t="s">
        <v>19</v>
      </c>
      <c r="F25" s="208"/>
      <c r="G25" s="290">
        <f>IF(E25="あり",1,0)</f>
        <v>1</v>
      </c>
      <c r="H25" s="11"/>
      <c r="I25" s="11"/>
      <c r="J25" s="11"/>
    </row>
    <row r="26" spans="2:10" ht="24" customHeight="1">
      <c r="B26" s="288" t="s">
        <v>31</v>
      </c>
      <c r="C26" s="358" t="s">
        <v>32</v>
      </c>
      <c r="D26" s="359"/>
      <c r="E26" s="4" t="s">
        <v>19</v>
      </c>
      <c r="F26" s="208"/>
      <c r="G26" s="290">
        <f>IF(E26="あり",0.8,0)</f>
        <v>0.8</v>
      </c>
      <c r="H26" s="11"/>
      <c r="I26" s="11"/>
      <c r="J26" s="11"/>
    </row>
    <row r="27" spans="2:10" ht="24" customHeight="1">
      <c r="B27" s="288" t="s">
        <v>33</v>
      </c>
      <c r="C27" s="358" t="s">
        <v>34</v>
      </c>
      <c r="D27" s="359"/>
      <c r="E27" s="4" t="s">
        <v>19</v>
      </c>
      <c r="F27" s="208"/>
      <c r="G27" s="290">
        <f>IF(E27="あり",0.8,0)</f>
        <v>0.8</v>
      </c>
      <c r="H27" s="11"/>
      <c r="I27" s="11"/>
      <c r="J27" s="11"/>
    </row>
    <row r="28" spans="2:10" ht="24" customHeight="1">
      <c r="B28" s="295" t="s">
        <v>35</v>
      </c>
      <c r="C28" s="358" t="s">
        <v>36</v>
      </c>
      <c r="D28" s="359"/>
      <c r="E28" s="4" t="s">
        <v>19</v>
      </c>
      <c r="F28" s="208"/>
      <c r="G28" s="290">
        <f>IF(E28="あり",0.8,0)</f>
        <v>0.8</v>
      </c>
      <c r="H28" s="11"/>
      <c r="I28" s="11"/>
      <c r="J28" s="11"/>
    </row>
    <row r="29" spans="2:10" ht="24" customHeight="1">
      <c r="B29" s="295" t="s">
        <v>37</v>
      </c>
      <c r="C29" s="358" t="s">
        <v>38</v>
      </c>
      <c r="D29" s="359"/>
      <c r="E29" s="4" t="s">
        <v>19</v>
      </c>
      <c r="F29" s="208"/>
      <c r="G29" s="290">
        <f>IF(E29="あり",0.5,0)</f>
        <v>0.5</v>
      </c>
      <c r="H29" s="11"/>
      <c r="I29" s="11"/>
      <c r="J29" s="11"/>
    </row>
    <row r="30" spans="2:10" ht="24" customHeight="1">
      <c r="B30" s="296" t="s">
        <v>39</v>
      </c>
      <c r="C30" s="368" t="s">
        <v>40</v>
      </c>
      <c r="D30" s="361"/>
      <c r="E30" s="97" t="s">
        <v>19</v>
      </c>
      <c r="F30" s="208"/>
      <c r="G30" s="297">
        <f>IF(E30="あり",-1,0)</f>
        <v>-1</v>
      </c>
      <c r="H30" s="11"/>
      <c r="I30" s="11"/>
      <c r="J30" s="11"/>
    </row>
    <row r="31" spans="2:10" ht="24" customHeight="1">
      <c r="B31" s="209" t="s">
        <v>41</v>
      </c>
      <c r="C31" s="369" t="s">
        <v>42</v>
      </c>
      <c r="D31" s="353"/>
      <c r="E31" s="91" t="s">
        <v>43</v>
      </c>
      <c r="F31" s="210">
        <v>3</v>
      </c>
      <c r="G31" s="221">
        <f>IF(E31="満たさない",-F31,0)</f>
        <v>-3</v>
      </c>
      <c r="H31" s="11"/>
      <c r="I31" s="11"/>
      <c r="J31" s="11"/>
    </row>
    <row r="32" spans="2:10" ht="24" customHeight="1" thickBot="1">
      <c r="B32" s="370" t="s">
        <v>44</v>
      </c>
      <c r="C32" s="371"/>
      <c r="D32" s="372"/>
      <c r="E32" s="211"/>
      <c r="F32" s="211"/>
      <c r="G32" s="222">
        <f>IF(F7&lt;=35,0.4,IF(F7&lt;=300,1.4,0.4))</f>
        <v>1.4</v>
      </c>
      <c r="H32" s="11"/>
      <c r="I32" s="11"/>
      <c r="J32" s="11"/>
    </row>
    <row r="33" spans="1:10" ht="24" customHeight="1" thickTop="1" thickBot="1">
      <c r="B33" s="212" t="s">
        <v>45</v>
      </c>
      <c r="C33" s="213"/>
      <c r="D33" s="213"/>
      <c r="E33" s="213"/>
      <c r="F33" s="158"/>
      <c r="G33" s="223">
        <f>SUM(G17,G21:G32)</f>
        <v>22.6</v>
      </c>
      <c r="H33" s="11"/>
      <c r="I33" s="11"/>
      <c r="J33" s="11"/>
    </row>
    <row r="34" spans="1:10" ht="24" customHeight="1" thickBot="1">
      <c r="B34" s="38" t="s">
        <v>46</v>
      </c>
      <c r="C34" s="39"/>
      <c r="D34" s="39"/>
      <c r="E34" s="39"/>
      <c r="F34" s="190"/>
      <c r="G34" s="306">
        <f>ROUND(G33,0)</f>
        <v>23</v>
      </c>
      <c r="I34" s="11"/>
      <c r="J34" s="11"/>
    </row>
    <row r="35" spans="1:10" ht="24" customHeight="1">
      <c r="B35" s="309" t="s">
        <v>47</v>
      </c>
      <c r="C35" s="310"/>
      <c r="D35" s="310"/>
      <c r="E35" s="310"/>
      <c r="F35" s="311"/>
      <c r="G35" s="312"/>
      <c r="I35" s="11"/>
      <c r="J35" s="11"/>
    </row>
    <row r="36" spans="1:10" ht="24" customHeight="1">
      <c r="B36" s="41"/>
      <c r="F36" s="10"/>
      <c r="G36" s="42"/>
      <c r="H36" s="43"/>
      <c r="J36" s="11"/>
    </row>
    <row r="37" spans="1:10" ht="24" customHeight="1" thickBot="1">
      <c r="A37" s="13" t="s">
        <v>48</v>
      </c>
      <c r="F37" s="44"/>
      <c r="G37" s="42"/>
      <c r="H37" s="43"/>
      <c r="I37" s="214"/>
      <c r="J37" s="11"/>
    </row>
    <row r="38" spans="1:10" ht="24" customHeight="1" thickBot="1">
      <c r="B38" s="362" t="s">
        <v>49</v>
      </c>
      <c r="C38" s="363"/>
      <c r="D38" s="363"/>
      <c r="E38" s="363"/>
      <c r="F38" s="364"/>
      <c r="G38" s="82">
        <f>IF(ROUND(G34/3,0)=0,1,ROUND(G34/3,0))</f>
        <v>8</v>
      </c>
      <c r="I38" s="11"/>
      <c r="J38" s="11"/>
    </row>
    <row r="39" spans="1:10" ht="24" customHeight="1" thickBot="1">
      <c r="B39" s="365" t="s">
        <v>50</v>
      </c>
      <c r="C39" s="366"/>
      <c r="D39" s="366"/>
      <c r="E39" s="366"/>
      <c r="F39" s="367"/>
      <c r="G39" s="82">
        <f>IF(ROUND(G34/5,0)=0,1,ROUND(G34/5,0))</f>
        <v>5</v>
      </c>
      <c r="I39" s="11"/>
      <c r="J39" s="11"/>
    </row>
    <row r="40" spans="1:10" ht="33.75" customHeight="1">
      <c r="F40" s="10"/>
      <c r="H40" s="43"/>
      <c r="J40" s="11"/>
    </row>
    <row r="41" spans="1:10" ht="27" customHeight="1" thickBot="1">
      <c r="A41" s="13" t="s">
        <v>51</v>
      </c>
      <c r="F41" s="10"/>
      <c r="J41" s="11"/>
    </row>
    <row r="42" spans="1:10" ht="21" customHeight="1" thickBot="1">
      <c r="B42" s="49"/>
      <c r="C42" s="304">
        <v>51590</v>
      </c>
      <c r="D42" s="46" t="s">
        <v>52</v>
      </c>
      <c r="E42" s="46"/>
      <c r="F42" s="216"/>
      <c r="G42" s="84">
        <f>C42*G38</f>
        <v>412720</v>
      </c>
      <c r="I42" s="11"/>
      <c r="J42" s="11"/>
    </row>
    <row r="43" spans="1:10" ht="21" customHeight="1" thickBot="1">
      <c r="B43" s="52"/>
      <c r="C43" s="305">
        <v>6450</v>
      </c>
      <c r="D43" s="54" t="s">
        <v>53</v>
      </c>
      <c r="E43" s="54"/>
      <c r="F43" s="217"/>
      <c r="G43" s="86">
        <f>C43*G39</f>
        <v>32250</v>
      </c>
      <c r="I43" s="11"/>
      <c r="J43" s="11"/>
    </row>
    <row r="44" spans="1:10" ht="21" customHeight="1" thickTop="1" thickBot="1">
      <c r="B44" s="56"/>
      <c r="C44" s="303" t="s">
        <v>54</v>
      </c>
      <c r="D44" s="58"/>
      <c r="E44" s="58"/>
      <c r="F44" s="58"/>
      <c r="G44" s="88">
        <f>SUM(G42:G43)</f>
        <v>444970</v>
      </c>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29">
    <mergeCell ref="C26:D26"/>
    <mergeCell ref="C27:D27"/>
    <mergeCell ref="C28:D28"/>
    <mergeCell ref="B38:F38"/>
    <mergeCell ref="B39:F39"/>
    <mergeCell ref="C29:D29"/>
    <mergeCell ref="C30:D30"/>
    <mergeCell ref="C31:D31"/>
    <mergeCell ref="B32:D32"/>
    <mergeCell ref="C21:D21"/>
    <mergeCell ref="C22:D22"/>
    <mergeCell ref="C23:D23"/>
    <mergeCell ref="C24:D24"/>
    <mergeCell ref="C25:D25"/>
    <mergeCell ref="C12:G13"/>
    <mergeCell ref="C16:D16"/>
    <mergeCell ref="C17:D17"/>
    <mergeCell ref="C19:D19"/>
    <mergeCell ref="C20:D20"/>
    <mergeCell ref="C18:D18"/>
    <mergeCell ref="G19:G20"/>
    <mergeCell ref="C10:E10"/>
    <mergeCell ref="C11:E11"/>
    <mergeCell ref="E3:G3"/>
    <mergeCell ref="A1:H1"/>
    <mergeCell ref="B8:E8"/>
    <mergeCell ref="B7:E7"/>
    <mergeCell ref="B6:E6"/>
    <mergeCell ref="C9:E9"/>
  </mergeCells>
  <phoneticPr fontId="1"/>
  <dataValidations count="2">
    <dataValidation type="list" allowBlank="1" showInputMessage="1" showErrorMessage="1" sqref="E31" xr:uid="{00000000-0002-0000-0000-000000000000}">
      <formula1>"　,満たす,満たさない"</formula1>
    </dataValidation>
    <dataValidation type="list" allowBlank="1" showInputMessage="1" showErrorMessage="1" sqref="E18:E30" xr:uid="{00000000-0002-0000-0000-000001000000}">
      <formula1>"　,あり,なし"</formula1>
    </dataValidation>
  </dataValidations>
  <pageMargins left="0.92" right="0.56000000000000005" top="0.75" bottom="0.75" header="0.3" footer="0.3"/>
  <pageSetup paperSize="9" scale="68"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20"/>
  <sheetViews>
    <sheetView zoomScaleNormal="100" workbookViewId="0">
      <selection activeCell="H20" sqref="H20:H25"/>
    </sheetView>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10" style="10" customWidth="1"/>
    <col min="7" max="7" width="10.59765625" style="10" customWidth="1"/>
    <col min="8" max="8" width="13.09765625" style="10" customWidth="1"/>
    <col min="9" max="9" width="10" style="10" customWidth="1"/>
    <col min="10" max="10" width="10" style="11" customWidth="1"/>
    <col min="11" max="11" width="16" style="11" customWidth="1"/>
    <col min="12" max="12" width="13.09765625" style="11" customWidth="1"/>
    <col min="13" max="16384" width="9" style="11"/>
  </cols>
  <sheetData>
    <row r="1" spans="1:12" s="8" customFormat="1" ht="23.25" customHeight="1">
      <c r="A1" s="6" t="s">
        <v>55</v>
      </c>
      <c r="B1" s="6"/>
      <c r="C1" s="6"/>
      <c r="D1" s="6"/>
      <c r="E1" s="6"/>
      <c r="F1" s="7"/>
      <c r="G1" s="7"/>
      <c r="H1" s="7"/>
      <c r="I1" s="7"/>
    </row>
    <row r="2" spans="1:12" ht="19.5" customHeight="1" thickBot="1">
      <c r="A2" s="9"/>
    </row>
    <row r="3" spans="1:12" ht="19.5" customHeight="1" thickBot="1">
      <c r="A3" s="9"/>
      <c r="C3" s="378" t="s">
        <v>1</v>
      </c>
      <c r="D3" s="378"/>
      <c r="E3" s="336" t="s">
        <v>56</v>
      </c>
      <c r="F3" s="337"/>
      <c r="G3" s="337"/>
      <c r="H3" s="338"/>
    </row>
    <row r="4" spans="1:12" ht="19.5" customHeight="1">
      <c r="A4" s="9"/>
      <c r="E4" s="12"/>
      <c r="F4" s="12"/>
      <c r="G4" s="12"/>
      <c r="H4" s="12"/>
    </row>
    <row r="5" spans="1:12" ht="19.5" customHeight="1" thickBot="1">
      <c r="A5" s="13" t="s">
        <v>3</v>
      </c>
      <c r="E5" s="12"/>
      <c r="F5" s="12"/>
      <c r="G5" s="12"/>
      <c r="H5" s="12"/>
    </row>
    <row r="6" spans="1:12" ht="19.5" customHeight="1" thickBot="1">
      <c r="A6" s="13"/>
      <c r="B6" s="17"/>
      <c r="C6" s="141"/>
      <c r="D6" s="141"/>
      <c r="E6" s="180" t="s">
        <v>57</v>
      </c>
      <c r="F6" s="178" t="s">
        <v>4</v>
      </c>
      <c r="G6" s="12"/>
      <c r="H6" s="12"/>
      <c r="I6" s="12"/>
      <c r="J6" s="178" t="s">
        <v>4</v>
      </c>
    </row>
    <row r="7" spans="1:12" ht="37.5" customHeight="1" thickBot="1">
      <c r="A7" s="13"/>
      <c r="B7" s="342" t="s">
        <v>58</v>
      </c>
      <c r="C7" s="343"/>
      <c r="D7" s="343"/>
      <c r="E7" s="225" t="s">
        <v>19</v>
      </c>
      <c r="F7" s="14" t="s">
        <v>59</v>
      </c>
      <c r="G7" s="12"/>
      <c r="H7" s="12"/>
      <c r="I7" s="12"/>
      <c r="J7" s="251" t="str">
        <f>IF(E7="あり","分園分を記入","入力不要")</f>
        <v>分園分を記入</v>
      </c>
    </row>
    <row r="8" spans="1:12" ht="19.5" customHeight="1" thickBot="1">
      <c r="A8" s="13"/>
      <c r="B8" s="342" t="s">
        <v>5</v>
      </c>
      <c r="C8" s="343"/>
      <c r="D8" s="343"/>
      <c r="E8" s="343"/>
      <c r="F8" s="1">
        <v>100</v>
      </c>
      <c r="G8" s="12"/>
      <c r="H8" s="12"/>
      <c r="I8" s="12"/>
      <c r="J8" s="1">
        <v>20</v>
      </c>
    </row>
    <row r="9" spans="1:12" ht="19.5" customHeight="1" thickBot="1">
      <c r="A9" s="13"/>
      <c r="B9" s="340" t="s">
        <v>60</v>
      </c>
      <c r="C9" s="341"/>
      <c r="D9" s="341"/>
      <c r="E9" s="341"/>
      <c r="F9" s="169">
        <f>F10+F11+F12+F13</f>
        <v>100</v>
      </c>
      <c r="H9" s="12"/>
      <c r="I9" s="12"/>
      <c r="J9" s="169">
        <f>J10+J11+J12+J13</f>
        <v>20</v>
      </c>
    </row>
    <row r="10" spans="1:12" ht="19.5" customHeight="1">
      <c r="A10" s="13"/>
      <c r="B10" s="132"/>
      <c r="C10" s="332" t="s">
        <v>7</v>
      </c>
      <c r="D10" s="333"/>
      <c r="E10" s="133"/>
      <c r="F10" s="134">
        <v>40</v>
      </c>
      <c r="G10" s="12"/>
      <c r="H10" s="12"/>
      <c r="I10" s="12"/>
      <c r="J10" s="134">
        <v>5</v>
      </c>
    </row>
    <row r="11" spans="1:12" ht="19.5" customHeight="1">
      <c r="A11" s="13"/>
      <c r="B11" s="132"/>
      <c r="C11" s="332" t="s">
        <v>61</v>
      </c>
      <c r="D11" s="333"/>
      <c r="E11" s="133"/>
      <c r="F11" s="135">
        <v>30</v>
      </c>
      <c r="G11" s="12"/>
      <c r="H11" s="12"/>
      <c r="I11" s="12"/>
      <c r="J11" s="135">
        <v>5</v>
      </c>
    </row>
    <row r="12" spans="1:12" ht="19.5" customHeight="1">
      <c r="A12" s="13"/>
      <c r="B12" s="132"/>
      <c r="C12" s="333" t="s">
        <v>62</v>
      </c>
      <c r="D12" s="381"/>
      <c r="E12" s="133"/>
      <c r="F12" s="135">
        <v>20</v>
      </c>
      <c r="G12" s="12"/>
      <c r="H12" s="12"/>
      <c r="I12" s="12"/>
      <c r="J12" s="135">
        <v>5</v>
      </c>
    </row>
    <row r="13" spans="1:12" ht="19.5" customHeight="1" thickBot="1">
      <c r="A13" s="9"/>
      <c r="B13" s="95"/>
      <c r="C13" s="334" t="s">
        <v>63</v>
      </c>
      <c r="D13" s="335"/>
      <c r="E13" s="138"/>
      <c r="F13" s="139">
        <v>10</v>
      </c>
      <c r="G13" s="12"/>
      <c r="H13" s="12"/>
      <c r="J13" s="139">
        <v>5</v>
      </c>
    </row>
    <row r="14" spans="1:12" ht="42.75" customHeight="1">
      <c r="A14" s="9"/>
      <c r="B14" s="224" t="s">
        <v>10</v>
      </c>
      <c r="C14" s="346" t="s">
        <v>11</v>
      </c>
      <c r="D14" s="346"/>
      <c r="E14" s="346"/>
      <c r="F14" s="346"/>
      <c r="G14" s="346"/>
      <c r="H14" s="346"/>
      <c r="I14" s="346"/>
      <c r="J14" s="346"/>
      <c r="K14" s="346"/>
      <c r="L14" s="346"/>
    </row>
    <row r="15" spans="1:12" ht="19.5" customHeight="1">
      <c r="A15" s="9"/>
      <c r="B15" s="140"/>
      <c r="C15" s="271"/>
      <c r="D15" s="271"/>
      <c r="E15" s="271"/>
      <c r="F15" s="271"/>
      <c r="G15" s="271"/>
      <c r="H15" s="271"/>
    </row>
    <row r="16" spans="1:12" ht="19.5" customHeight="1" thickBot="1">
      <c r="A16" s="13" t="s">
        <v>12</v>
      </c>
    </row>
    <row r="17" spans="1:12" ht="19.5" customHeight="1" thickBot="1">
      <c r="A17" s="13"/>
      <c r="E17" s="382" t="s">
        <v>64</v>
      </c>
      <c r="F17" s="383"/>
      <c r="G17" s="383"/>
      <c r="H17" s="384"/>
      <c r="I17" s="385" t="str">
        <f>IF(E7="あり","分園分","選択不要")</f>
        <v>分園分</v>
      </c>
      <c r="J17" s="386"/>
      <c r="K17" s="386"/>
      <c r="L17" s="387"/>
    </row>
    <row r="18" spans="1:12" ht="33" customHeight="1">
      <c r="B18" s="17"/>
      <c r="C18" s="141"/>
      <c r="D18" s="141"/>
      <c r="E18" s="253" t="s">
        <v>13</v>
      </c>
      <c r="F18" s="254"/>
      <c r="G18" s="379" t="s">
        <v>15</v>
      </c>
      <c r="H18" s="380"/>
      <c r="I18" s="226" t="s">
        <v>13</v>
      </c>
      <c r="J18" s="227"/>
      <c r="K18" s="388" t="s">
        <v>15</v>
      </c>
      <c r="L18" s="389"/>
    </row>
    <row r="19" spans="1:12" ht="19.5" customHeight="1">
      <c r="B19" s="20" t="s">
        <v>16</v>
      </c>
      <c r="C19" s="141" t="s">
        <v>65</v>
      </c>
      <c r="D19" s="181"/>
      <c r="E19" s="243"/>
      <c r="F19" s="182"/>
      <c r="G19" s="176"/>
      <c r="H19" s="193"/>
      <c r="I19" s="328"/>
      <c r="J19" s="329"/>
      <c r="K19" s="232"/>
      <c r="L19" s="233"/>
    </row>
    <row r="20" spans="1:12" ht="19.5" customHeight="1">
      <c r="B20" s="23"/>
      <c r="C20" s="146" t="s">
        <v>66</v>
      </c>
      <c r="D20" s="240"/>
      <c r="E20" s="244"/>
      <c r="F20" s="172">
        <f>F10</f>
        <v>40</v>
      </c>
      <c r="G20" s="62">
        <f>IF(E21="なし",F20/30,F20/25)</f>
        <v>1.6</v>
      </c>
      <c r="H20" s="113">
        <f>ROUNDDOWN(G20,1)</f>
        <v>1.6</v>
      </c>
      <c r="I20" s="146"/>
      <c r="J20" s="172">
        <f>IF(E7="あり",J10,0)</f>
        <v>5</v>
      </c>
      <c r="K20" s="112">
        <f>IF(I21="なし",J20/30,J20/25)</f>
        <v>0.2</v>
      </c>
      <c r="L20" s="113">
        <f>ROUNDDOWN(K20,1)</f>
        <v>0.2</v>
      </c>
    </row>
    <row r="21" spans="1:12" ht="19.5" customHeight="1">
      <c r="B21" s="23"/>
      <c r="C21" s="146" t="s">
        <v>131</v>
      </c>
      <c r="D21" s="240"/>
      <c r="E21" s="246" t="s">
        <v>19</v>
      </c>
      <c r="F21" s="325"/>
      <c r="G21" s="326"/>
      <c r="H21" s="327"/>
      <c r="I21" s="274" t="str">
        <f>E21</f>
        <v>あり</v>
      </c>
      <c r="J21" s="325"/>
      <c r="K21" s="326"/>
      <c r="L21" s="327"/>
    </row>
    <row r="22" spans="1:12" ht="19.5" customHeight="1">
      <c r="B22" s="23"/>
      <c r="C22" s="24" t="s">
        <v>67</v>
      </c>
      <c r="D22" s="241"/>
      <c r="E22" s="245"/>
      <c r="F22" s="171">
        <f>F11</f>
        <v>30</v>
      </c>
      <c r="G22" s="62">
        <f>IF(E23="なし",F22/20,F22/15)</f>
        <v>2</v>
      </c>
      <c r="H22" s="63">
        <f>ROUNDDOWN(G22,1)</f>
        <v>2</v>
      </c>
      <c r="I22" s="9"/>
      <c r="J22" s="172">
        <f>IF(E7="あり",J11,0)</f>
        <v>5</v>
      </c>
      <c r="K22" s="62">
        <f>IF(I23="なし",J22/20,J22/15)</f>
        <v>0.33333333333333331</v>
      </c>
      <c r="L22" s="63">
        <f>ROUNDDOWN(K22,1)</f>
        <v>0.3</v>
      </c>
    </row>
    <row r="23" spans="1:12" ht="19.5" customHeight="1">
      <c r="B23" s="23"/>
      <c r="C23" s="24" t="s">
        <v>68</v>
      </c>
      <c r="D23" s="241"/>
      <c r="E23" s="246" t="s">
        <v>19</v>
      </c>
      <c r="F23" s="145"/>
      <c r="G23" s="174"/>
      <c r="H23" s="175"/>
      <c r="I23" s="274" t="str">
        <f>E23</f>
        <v>あり</v>
      </c>
      <c r="J23" s="145"/>
      <c r="K23" s="174"/>
      <c r="L23" s="175"/>
    </row>
    <row r="24" spans="1:12" ht="19.5" customHeight="1">
      <c r="B24" s="23"/>
      <c r="C24" s="24" t="s">
        <v>62</v>
      </c>
      <c r="D24" s="241"/>
      <c r="E24" s="247"/>
      <c r="F24" s="171">
        <f>F12</f>
        <v>20</v>
      </c>
      <c r="G24" s="62">
        <f>F24*1/6</f>
        <v>3.3333333333333335</v>
      </c>
      <c r="H24" s="63">
        <f>ROUNDDOWN(G24,1)</f>
        <v>3.3</v>
      </c>
      <c r="I24" s="24"/>
      <c r="J24" s="172">
        <f>IF(E7="あり",J12,0)</f>
        <v>5</v>
      </c>
      <c r="K24" s="62">
        <f>J24*1/6</f>
        <v>0.83333333333333337</v>
      </c>
      <c r="L24" s="63">
        <f>ROUNDDOWN(K24,1)</f>
        <v>0.8</v>
      </c>
    </row>
    <row r="25" spans="1:12" ht="19.5" customHeight="1" thickBot="1">
      <c r="B25" s="23"/>
      <c r="C25" s="94" t="s">
        <v>63</v>
      </c>
      <c r="D25" s="242"/>
      <c r="E25" s="230"/>
      <c r="F25" s="173">
        <f>F13</f>
        <v>10</v>
      </c>
      <c r="G25" s="64">
        <f>F25*1/3</f>
        <v>3.3333333333333335</v>
      </c>
      <c r="H25" s="65">
        <f>ROUNDDOWN(G25,1)</f>
        <v>3.3</v>
      </c>
      <c r="I25" s="230"/>
      <c r="J25" s="173">
        <f>IF(E7="あり",J13,0)</f>
        <v>5</v>
      </c>
      <c r="K25" s="64">
        <f>J25*1/3</f>
        <v>1.6666666666666667</v>
      </c>
      <c r="L25" s="65">
        <f>ROUNDDOWN(K25,1)</f>
        <v>1.6</v>
      </c>
    </row>
    <row r="26" spans="1:12" ht="19.5" customHeight="1" thickTop="1">
      <c r="B26" s="26"/>
      <c r="C26" s="95" t="s">
        <v>69</v>
      </c>
      <c r="D26" s="26"/>
      <c r="E26" s="248"/>
      <c r="F26" s="183"/>
      <c r="G26" s="66"/>
      <c r="H26" s="67">
        <f>ROUND(SUM(H20:H25),0)</f>
        <v>10</v>
      </c>
      <c r="J26" s="231"/>
      <c r="K26" s="66"/>
      <c r="L26" s="67">
        <f>ROUND(SUM(L20:L25),0)</f>
        <v>3</v>
      </c>
    </row>
    <row r="27" spans="1:12" ht="19.5" customHeight="1">
      <c r="B27" s="29" t="s">
        <v>21</v>
      </c>
      <c r="C27" s="148" t="s">
        <v>70</v>
      </c>
      <c r="D27" s="181"/>
      <c r="E27" s="249" t="s">
        <v>19</v>
      </c>
      <c r="F27" s="182"/>
      <c r="G27" s="68"/>
      <c r="H27" s="69">
        <f>IF(E27="あり",1.4,0)</f>
        <v>1.4</v>
      </c>
      <c r="I27" s="151" t="s">
        <v>19</v>
      </c>
      <c r="J27" s="182"/>
      <c r="K27" s="68"/>
      <c r="L27" s="69">
        <f>IF(E7="あり",IF(I27="あり",1.4,0),0)</f>
        <v>1.4</v>
      </c>
    </row>
    <row r="28" spans="1:12" ht="19.5" customHeight="1">
      <c r="B28" s="29" t="s">
        <v>23</v>
      </c>
      <c r="C28" s="148" t="s">
        <v>71</v>
      </c>
      <c r="D28" s="181"/>
      <c r="E28" s="249" t="s">
        <v>19</v>
      </c>
      <c r="F28" s="182"/>
      <c r="G28" s="68"/>
      <c r="H28" s="69">
        <f>IF(E28="あり",1,0)</f>
        <v>1</v>
      </c>
      <c r="I28" s="376" t="str">
        <f>IF($E$7="あり","本園分で選択","－")</f>
        <v>本園分で選択</v>
      </c>
      <c r="J28" s="377"/>
      <c r="K28" s="232"/>
      <c r="L28" s="233"/>
    </row>
    <row r="29" spans="1:12" ht="19.5" customHeight="1">
      <c r="B29" s="29" t="s">
        <v>25</v>
      </c>
      <c r="C29" s="148" t="s">
        <v>72</v>
      </c>
      <c r="D29" s="181"/>
      <c r="E29" s="249" t="s">
        <v>19</v>
      </c>
      <c r="F29" s="182"/>
      <c r="G29" s="68"/>
      <c r="H29" s="69">
        <f>IF(E29="あり",0.3,0)</f>
        <v>0.3</v>
      </c>
      <c r="I29" s="376" t="str">
        <f t="shared" ref="I29:I32" si="0">IF($E$7="あり","本園分で選択","－")</f>
        <v>本園分で選択</v>
      </c>
      <c r="J29" s="377"/>
      <c r="K29" s="232"/>
      <c r="L29" s="233"/>
    </row>
    <row r="30" spans="1:12" ht="19.5" customHeight="1" thickBot="1">
      <c r="B30" s="29" t="s">
        <v>27</v>
      </c>
      <c r="C30" s="148" t="s">
        <v>73</v>
      </c>
      <c r="D30" s="181"/>
      <c r="E30" s="249" t="s">
        <v>19</v>
      </c>
      <c r="F30" s="313"/>
      <c r="G30" s="68"/>
      <c r="H30" s="69">
        <f>IF(E30="あり",0.5,0)</f>
        <v>0.5</v>
      </c>
      <c r="I30" s="376" t="str">
        <f t="shared" si="0"/>
        <v>本園分で選択</v>
      </c>
      <c r="J30" s="377"/>
      <c r="K30" s="232"/>
      <c r="L30" s="233"/>
    </row>
    <row r="31" spans="1:12" ht="19.5" customHeight="1" thickBot="1">
      <c r="B31" s="29" t="s">
        <v>29</v>
      </c>
      <c r="C31" s="148" t="s">
        <v>74</v>
      </c>
      <c r="D31" s="181"/>
      <c r="E31" s="263" t="s">
        <v>19</v>
      </c>
      <c r="F31" s="1">
        <v>2</v>
      </c>
      <c r="G31" s="68"/>
      <c r="H31" s="69">
        <f>IF(E31="あり",F31,0)</f>
        <v>2</v>
      </c>
      <c r="I31" s="376" t="str">
        <f t="shared" si="0"/>
        <v>本園分で選択</v>
      </c>
      <c r="J31" s="377"/>
      <c r="K31" s="232"/>
      <c r="L31" s="233"/>
    </row>
    <row r="32" spans="1:12" ht="19.5" customHeight="1">
      <c r="B32" s="29" t="s">
        <v>75</v>
      </c>
      <c r="C32" s="343" t="s">
        <v>38</v>
      </c>
      <c r="D32" s="375"/>
      <c r="E32" s="249" t="s">
        <v>19</v>
      </c>
      <c r="F32" s="314"/>
      <c r="G32" s="68"/>
      <c r="H32" s="69">
        <f>IF(E32="あり",0.6,0)</f>
        <v>0.6</v>
      </c>
      <c r="I32" s="373" t="str">
        <f t="shared" si="0"/>
        <v>本園分で選択</v>
      </c>
      <c r="J32" s="374"/>
      <c r="K32" s="281"/>
      <c r="L32" s="282"/>
    </row>
    <row r="33" spans="1:12" ht="19.5" customHeight="1" thickBot="1">
      <c r="B33" s="184" t="s">
        <v>76</v>
      </c>
      <c r="C33" s="185"/>
      <c r="D33" s="185"/>
      <c r="E33" s="250"/>
      <c r="F33" s="186"/>
      <c r="G33" s="194"/>
      <c r="H33" s="195">
        <f>IF(F8&lt;=40,1.5,IF(F8&lt;=90,2.5,IF(F8&lt;=150,2.3,IF(F8&gt;=151,3.3,0))))</f>
        <v>2.2999999999999998</v>
      </c>
      <c r="I33" s="234"/>
      <c r="J33" s="235"/>
      <c r="K33" s="236"/>
      <c r="L33" s="72">
        <f>IF(E7="あり",IF(J8&lt;=40,1.5,IF(J8&lt;=90,2.5,IF(J8&lt;=150,2.3,IF(J8&gt;=151,3.3,0)))),0)</f>
        <v>1.5</v>
      </c>
    </row>
    <row r="34" spans="1:12" ht="19.5" customHeight="1" thickTop="1" thickBot="1">
      <c r="B34" s="36" t="s">
        <v>45</v>
      </c>
      <c r="C34" s="41"/>
      <c r="D34" s="41"/>
      <c r="E34" s="245"/>
      <c r="F34" s="187"/>
      <c r="G34" s="73"/>
      <c r="H34" s="74">
        <f>SUM(H33,H26,H27:H32)</f>
        <v>18.100000000000001</v>
      </c>
      <c r="J34" s="229"/>
      <c r="K34" s="228"/>
      <c r="L34" s="74">
        <f>SUM(L26,L27,,L33)</f>
        <v>5.9</v>
      </c>
    </row>
    <row r="35" spans="1:12" ht="19.5" customHeight="1" thickBot="1">
      <c r="B35" s="38" t="s">
        <v>46</v>
      </c>
      <c r="C35" s="188"/>
      <c r="D35" s="188"/>
      <c r="E35" s="215"/>
      <c r="F35" s="189"/>
      <c r="G35" s="75"/>
      <c r="H35" s="196">
        <f>ROUND(H34,0)</f>
        <v>18</v>
      </c>
      <c r="I35" s="237"/>
      <c r="J35" s="238"/>
      <c r="K35" s="239"/>
      <c r="L35" s="196">
        <f>ROUND(L34,0)</f>
        <v>6</v>
      </c>
    </row>
    <row r="36" spans="1:12" ht="19.5" customHeight="1">
      <c r="B36" s="41"/>
      <c r="C36" s="41"/>
      <c r="D36" s="41"/>
      <c r="H36" s="42"/>
      <c r="I36" s="43"/>
    </row>
    <row r="37" spans="1:12" ht="19.5" customHeight="1" thickBot="1">
      <c r="A37" s="13" t="s">
        <v>48</v>
      </c>
      <c r="G37" s="44"/>
      <c r="H37" s="42"/>
      <c r="I37" s="43"/>
    </row>
    <row r="38" spans="1:12" ht="19.5" customHeight="1" thickBot="1">
      <c r="B38" s="49" t="s">
        <v>49</v>
      </c>
      <c r="C38" s="46"/>
      <c r="D38" s="46"/>
      <c r="E38" s="39"/>
      <c r="F38" s="319"/>
      <c r="G38" s="317">
        <f>(H35+L35)/3</f>
        <v>8</v>
      </c>
      <c r="H38" s="315">
        <f>IF(ROUND(G38,0)=0,1,ROUND(G38,0))</f>
        <v>8</v>
      </c>
    </row>
    <row r="39" spans="1:12" ht="19.5" customHeight="1" thickBot="1">
      <c r="B39" s="48" t="s">
        <v>50</v>
      </c>
      <c r="C39" s="299"/>
      <c r="D39" s="299"/>
      <c r="E39" s="300"/>
      <c r="F39" s="320"/>
      <c r="G39" s="318">
        <f>(H35+L35)/5</f>
        <v>4.8</v>
      </c>
      <c r="H39" s="316">
        <f>IF(ROUND(G39,0)=0,1,ROUND(G39,0))</f>
        <v>5</v>
      </c>
    </row>
    <row r="40" spans="1:12" ht="19.5" customHeight="1">
      <c r="H40" s="43"/>
    </row>
    <row r="41" spans="1:12" ht="19.5" customHeight="1" thickBot="1">
      <c r="A41" s="13" t="s">
        <v>51</v>
      </c>
    </row>
    <row r="42" spans="1:12" ht="19.5" customHeight="1" thickBot="1">
      <c r="B42" s="49"/>
      <c r="C42" s="50">
        <v>49010</v>
      </c>
      <c r="D42" s="46" t="s">
        <v>77</v>
      </c>
      <c r="E42" s="39"/>
      <c r="F42" s="190"/>
      <c r="G42" s="103"/>
      <c r="H42" s="84">
        <f>C42*H38</f>
        <v>392080</v>
      </c>
    </row>
    <row r="43" spans="1:12" ht="19.5" customHeight="1" thickBot="1">
      <c r="B43" s="52"/>
      <c r="C43" s="53">
        <v>6130</v>
      </c>
      <c r="D43" s="54" t="s">
        <v>78</v>
      </c>
      <c r="E43" s="104"/>
      <c r="F43" s="191"/>
      <c r="G43" s="105"/>
      <c r="H43" s="86">
        <f>C43*H39</f>
        <v>30650</v>
      </c>
    </row>
    <row r="44" spans="1:12" ht="19.5" customHeight="1" thickTop="1" thickBot="1">
      <c r="B44" s="56"/>
      <c r="C44" s="192" t="s">
        <v>79</v>
      </c>
      <c r="D44" s="58"/>
      <c r="E44" s="58"/>
      <c r="F44" s="59"/>
      <c r="G44" s="59"/>
      <c r="H44" s="88">
        <f>SUM(H42:H43)</f>
        <v>422730</v>
      </c>
    </row>
    <row r="45" spans="1:12" ht="19.5" customHeight="1"/>
    <row r="46" spans="1:12" ht="19.5" customHeight="1"/>
    <row r="47" spans="1:12" ht="19.5" customHeight="1"/>
    <row r="48" spans="1:12" ht="19.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sheetData>
  <mergeCells count="20">
    <mergeCell ref="B9:E9"/>
    <mergeCell ref="I31:J31"/>
    <mergeCell ref="B8:E8"/>
    <mergeCell ref="C3:D3"/>
    <mergeCell ref="G18:H18"/>
    <mergeCell ref="C13:D13"/>
    <mergeCell ref="C12:D12"/>
    <mergeCell ref="C11:D11"/>
    <mergeCell ref="C10:D10"/>
    <mergeCell ref="E3:H3"/>
    <mergeCell ref="B7:D7"/>
    <mergeCell ref="E17:H17"/>
    <mergeCell ref="C14:L14"/>
    <mergeCell ref="I17:L17"/>
    <mergeCell ref="K18:L18"/>
    <mergeCell ref="I32:J32"/>
    <mergeCell ref="C32:D32"/>
    <mergeCell ref="I28:J28"/>
    <mergeCell ref="I29:J29"/>
    <mergeCell ref="I30:J30"/>
  </mergeCells>
  <phoneticPr fontId="1"/>
  <dataValidations count="1">
    <dataValidation type="list" allowBlank="1" showInputMessage="1" showErrorMessage="1" sqref="I27 E23 E7 E27:E32 E21" xr:uid="{00000000-0002-0000-0100-000000000000}">
      <formula1>"　,あり,なし"</formula1>
    </dataValidation>
  </dataValidations>
  <pageMargins left="0.92" right="0.56000000000000005" top="0.75" bottom="0.37" header="0.3" footer="0.3"/>
  <pageSetup paperSize="9" scale="84"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128"/>
  <sheetViews>
    <sheetView zoomScale="70" zoomScaleNormal="70" workbookViewId="0">
      <selection activeCell="C8" sqref="C8:E8"/>
    </sheetView>
  </sheetViews>
  <sheetFormatPr defaultColWidth="9" defaultRowHeight="18"/>
  <cols>
    <col min="1" max="1" width="2.8984375" style="11" customWidth="1"/>
    <col min="2" max="2" width="3" style="9" customWidth="1"/>
    <col min="3" max="3" width="14.69921875" style="9" customWidth="1"/>
    <col min="4" max="4" width="28.19921875" style="9" customWidth="1"/>
    <col min="5" max="6" width="10" style="10" customWidth="1"/>
    <col min="7" max="7" width="12.09765625" style="10" customWidth="1"/>
    <col min="8" max="8" width="13.09765625" style="10" customWidth="1"/>
    <col min="9" max="9" width="10" style="129" customWidth="1"/>
    <col min="10" max="10" width="10" style="11" customWidth="1"/>
    <col min="11" max="11" width="6.8984375" style="11" bestFit="1" customWidth="1"/>
    <col min="12" max="12" width="13.09765625" style="11" customWidth="1"/>
    <col min="13" max="16384" width="9" style="11"/>
  </cols>
  <sheetData>
    <row r="1" spans="1:12" s="8" customFormat="1" ht="31.5" customHeight="1" thickBot="1">
      <c r="A1" s="5" t="s">
        <v>80</v>
      </c>
      <c r="B1" s="6"/>
      <c r="C1" s="6"/>
      <c r="D1" s="6"/>
      <c r="E1" s="7"/>
      <c r="F1" s="7"/>
      <c r="G1" s="7"/>
      <c r="H1" s="7"/>
      <c r="I1" s="129"/>
    </row>
    <row r="2" spans="1:12" ht="19.5" customHeight="1" thickBot="1">
      <c r="A2" s="9"/>
      <c r="B2" s="378" t="s">
        <v>1</v>
      </c>
      <c r="C2" s="397"/>
      <c r="D2" s="336" t="s">
        <v>81</v>
      </c>
      <c r="E2" s="337"/>
      <c r="F2" s="337"/>
      <c r="G2" s="337"/>
      <c r="H2" s="338"/>
    </row>
    <row r="3" spans="1:12" ht="19.5" customHeight="1">
      <c r="A3" s="9"/>
      <c r="C3" s="12"/>
      <c r="D3" s="12"/>
      <c r="E3" s="12"/>
      <c r="F3" s="12"/>
      <c r="G3" s="12"/>
    </row>
    <row r="4" spans="1:12" ht="19.5" customHeight="1" thickBot="1">
      <c r="A4" s="13" t="s">
        <v>3</v>
      </c>
      <c r="E4" s="12"/>
      <c r="F4" s="12"/>
      <c r="G4" s="12"/>
    </row>
    <row r="5" spans="1:12" ht="33" customHeight="1" thickBot="1">
      <c r="A5" s="13"/>
      <c r="B5" s="344"/>
      <c r="C5" s="345"/>
      <c r="D5" s="345"/>
      <c r="E5" s="179" t="s">
        <v>13</v>
      </c>
      <c r="F5" s="130" t="s">
        <v>14</v>
      </c>
      <c r="G5" s="12"/>
      <c r="J5" s="130" t="s">
        <v>14</v>
      </c>
    </row>
    <row r="6" spans="1:12" ht="37.5" customHeight="1" thickBot="1">
      <c r="A6" s="13"/>
      <c r="B6" s="342" t="s">
        <v>58</v>
      </c>
      <c r="C6" s="343"/>
      <c r="D6" s="343"/>
      <c r="E6" s="252" t="s">
        <v>19</v>
      </c>
      <c r="F6" s="130" t="s">
        <v>59</v>
      </c>
      <c r="G6" s="12"/>
      <c r="J6" s="251" t="str">
        <f>IF(E6="あり","分園分を記入","入力不要")</f>
        <v>分園分を記入</v>
      </c>
    </row>
    <row r="7" spans="1:12" ht="19.5" customHeight="1" thickBot="1">
      <c r="A7" s="13"/>
      <c r="B7" s="342" t="s">
        <v>5</v>
      </c>
      <c r="C7" s="343"/>
      <c r="D7" s="343"/>
      <c r="E7" s="343"/>
      <c r="F7" s="168">
        <f>F8+F9</f>
        <v>290</v>
      </c>
      <c r="G7" s="12"/>
      <c r="J7" s="168">
        <f>J8+J9</f>
        <v>90</v>
      </c>
    </row>
    <row r="8" spans="1:12" ht="19.5" customHeight="1" thickBot="1">
      <c r="A8" s="13"/>
      <c r="B8" s="131"/>
      <c r="C8" s="343" t="s">
        <v>82</v>
      </c>
      <c r="D8" s="343"/>
      <c r="E8" s="343"/>
      <c r="F8" s="1">
        <v>200</v>
      </c>
      <c r="G8" s="12"/>
      <c r="J8" s="1">
        <v>50</v>
      </c>
    </row>
    <row r="9" spans="1:12" ht="19.5" customHeight="1" thickBot="1">
      <c r="A9" s="13"/>
      <c r="B9" s="131"/>
      <c r="C9" s="343" t="s">
        <v>83</v>
      </c>
      <c r="D9" s="343"/>
      <c r="E9" s="343"/>
      <c r="F9" s="1">
        <v>90</v>
      </c>
      <c r="G9" s="12"/>
      <c r="J9" s="1">
        <v>40</v>
      </c>
    </row>
    <row r="10" spans="1:12" ht="19.5" customHeight="1" thickBot="1">
      <c r="A10" s="13"/>
      <c r="B10" s="340" t="s">
        <v>60</v>
      </c>
      <c r="C10" s="341"/>
      <c r="D10" s="341"/>
      <c r="E10" s="341"/>
      <c r="F10" s="169">
        <f>F11+F12+F14+F15</f>
        <v>105</v>
      </c>
      <c r="G10" s="12"/>
      <c r="J10" s="169">
        <f>J11+J12+J14+J15</f>
        <v>90</v>
      </c>
    </row>
    <row r="11" spans="1:12" ht="19.5" customHeight="1">
      <c r="A11" s="13"/>
      <c r="B11" s="132"/>
      <c r="C11" s="332" t="s">
        <v>7</v>
      </c>
      <c r="D11" s="333"/>
      <c r="E11" s="133"/>
      <c r="F11" s="134">
        <v>40</v>
      </c>
      <c r="G11" s="12"/>
      <c r="J11" s="134">
        <v>40</v>
      </c>
    </row>
    <row r="12" spans="1:12" ht="19.5" customHeight="1">
      <c r="A12" s="13"/>
      <c r="B12" s="132"/>
      <c r="C12" s="332" t="s">
        <v>61</v>
      </c>
      <c r="D12" s="333"/>
      <c r="E12" s="133"/>
      <c r="F12" s="135">
        <v>35</v>
      </c>
      <c r="G12" s="12"/>
      <c r="J12" s="135">
        <v>30</v>
      </c>
    </row>
    <row r="13" spans="1:12" ht="19.5" customHeight="1">
      <c r="A13" s="13"/>
      <c r="B13" s="132"/>
      <c r="C13" s="136" t="s">
        <v>84</v>
      </c>
      <c r="D13" s="137"/>
      <c r="E13" s="133"/>
      <c r="F13" s="135">
        <v>10</v>
      </c>
      <c r="G13" s="12"/>
      <c r="J13" s="135">
        <v>10</v>
      </c>
    </row>
    <row r="14" spans="1:12" ht="19.5" customHeight="1">
      <c r="A14" s="13"/>
      <c r="B14" s="132"/>
      <c r="C14" s="333" t="s">
        <v>62</v>
      </c>
      <c r="D14" s="381"/>
      <c r="E14" s="133"/>
      <c r="F14" s="135">
        <v>20</v>
      </c>
      <c r="G14" s="12"/>
      <c r="J14" s="135">
        <v>10</v>
      </c>
    </row>
    <row r="15" spans="1:12" ht="19.5" customHeight="1" thickBot="1">
      <c r="A15" s="9"/>
      <c r="B15" s="95"/>
      <c r="C15" s="334" t="s">
        <v>63</v>
      </c>
      <c r="D15" s="335"/>
      <c r="E15" s="138"/>
      <c r="F15" s="139">
        <v>10</v>
      </c>
      <c r="G15" s="12"/>
      <c r="J15" s="139">
        <v>10</v>
      </c>
    </row>
    <row r="16" spans="1:12" ht="32.25" customHeight="1">
      <c r="A16" s="9"/>
      <c r="B16" s="271" t="s">
        <v>10</v>
      </c>
      <c r="C16" s="346" t="s">
        <v>11</v>
      </c>
      <c r="D16" s="346"/>
      <c r="E16" s="346"/>
      <c r="F16" s="346"/>
      <c r="G16" s="346"/>
      <c r="H16" s="346"/>
      <c r="I16" s="346"/>
      <c r="J16" s="346"/>
      <c r="K16" s="346"/>
      <c r="L16" s="346"/>
    </row>
    <row r="17" spans="1:12" ht="19.5" customHeight="1">
      <c r="A17" s="9"/>
      <c r="B17" s="140"/>
      <c r="C17" s="272"/>
      <c r="D17" s="272"/>
      <c r="E17" s="272"/>
      <c r="F17" s="272"/>
      <c r="G17" s="272"/>
      <c r="H17" s="272"/>
    </row>
    <row r="18" spans="1:12" ht="19.5" customHeight="1" thickBot="1">
      <c r="A18" s="13" t="s">
        <v>85</v>
      </c>
    </row>
    <row r="19" spans="1:12" ht="19.5" customHeight="1" thickBot="1">
      <c r="A19" s="13"/>
      <c r="E19" s="392" t="s">
        <v>64</v>
      </c>
      <c r="F19" s="393"/>
      <c r="G19" s="393"/>
      <c r="H19" s="394"/>
      <c r="I19" s="385" t="s">
        <v>133</v>
      </c>
      <c r="J19" s="386"/>
      <c r="K19" s="386"/>
      <c r="L19" s="387"/>
    </row>
    <row r="20" spans="1:12" ht="31.5" customHeight="1">
      <c r="B20" s="17"/>
      <c r="C20" s="141"/>
      <c r="D20" s="141"/>
      <c r="E20" s="265" t="s">
        <v>13</v>
      </c>
      <c r="F20" s="266" t="s">
        <v>14</v>
      </c>
      <c r="G20" s="388" t="s">
        <v>15</v>
      </c>
      <c r="H20" s="391"/>
      <c r="I20" s="267" t="s">
        <v>13</v>
      </c>
      <c r="J20" s="266" t="s">
        <v>14</v>
      </c>
      <c r="K20" s="388" t="s">
        <v>15</v>
      </c>
      <c r="L20" s="391"/>
    </row>
    <row r="21" spans="1:12" ht="17.25" customHeight="1">
      <c r="B21" s="20" t="s">
        <v>16</v>
      </c>
      <c r="C21" s="89" t="s">
        <v>65</v>
      </c>
      <c r="D21" s="89"/>
      <c r="E21" s="258"/>
      <c r="F21" s="22"/>
      <c r="G21" s="60"/>
      <c r="H21" s="61"/>
      <c r="I21" s="21"/>
      <c r="J21" s="22"/>
      <c r="K21" s="60"/>
      <c r="L21" s="61"/>
    </row>
    <row r="22" spans="1:12" ht="17.25" customHeight="1">
      <c r="B22" s="23"/>
      <c r="C22" s="142" t="s">
        <v>66</v>
      </c>
      <c r="D22" s="255"/>
      <c r="E22" s="259"/>
      <c r="F22" s="170">
        <f>F11</f>
        <v>40</v>
      </c>
      <c r="G22" s="106">
        <f>IF($E$23="あり",ROUNDDOWN($F$11*1/25,1),ROUNDDOWN($F$11*1/30,1))</f>
        <v>1.6</v>
      </c>
      <c r="H22" s="107">
        <f>ROUNDDOWN(G22,1)</f>
        <v>1.6</v>
      </c>
      <c r="I22" s="142"/>
      <c r="J22" s="170">
        <f>IF(E6="あり",J11,0)</f>
        <v>40</v>
      </c>
      <c r="K22" s="106">
        <f>IF($E$6="あり",IF(I23="あり",ROUNDDOWN($J$11*1/25,1),ROUNDDOWN($F$11*1/30,1)),0)</f>
        <v>1.6</v>
      </c>
      <c r="L22" s="107">
        <f>ROUNDDOWN(K22,1)</f>
        <v>1.6</v>
      </c>
    </row>
    <row r="23" spans="1:12" ht="17.25" customHeight="1">
      <c r="B23" s="23"/>
      <c r="C23" s="144" t="s">
        <v>132</v>
      </c>
      <c r="D23" s="133"/>
      <c r="E23" s="246" t="s">
        <v>19</v>
      </c>
      <c r="F23" s="145"/>
      <c r="G23" s="174"/>
      <c r="H23" s="175"/>
      <c r="I23" s="274" t="str">
        <f>E23</f>
        <v>あり</v>
      </c>
      <c r="J23" s="145"/>
      <c r="K23" s="174"/>
      <c r="L23" s="175"/>
    </row>
    <row r="24" spans="1:12" ht="17.25" customHeight="1">
      <c r="B24" s="23"/>
      <c r="C24" s="24" t="s">
        <v>86</v>
      </c>
      <c r="D24" s="133"/>
      <c r="E24" s="260"/>
      <c r="F24" s="171">
        <f>F12</f>
        <v>35</v>
      </c>
      <c r="G24" s="62">
        <f>IF($E$25="あり",IF($E$26="あり",ROUNDDOWN(($F$12-$F$13)*1/15,1)+ROUNDDOWN($F$13*1/6,1),ROUNDDOWN($F$12*1/15,1)),IF($E$26="あり",ROUNDDOWN(($F$12-$F$13)*1/20,1)+ROUNDDOWN($F$13*1/6,1),ROUNDDOWN($F$12*1/20,1)))</f>
        <v>3.2</v>
      </c>
      <c r="H24" s="63">
        <f>ROUNDDOWN(G24,1)</f>
        <v>3.2</v>
      </c>
      <c r="I24" s="143"/>
      <c r="J24" s="172">
        <f>IF(E$6="あり",J12,0)</f>
        <v>30</v>
      </c>
      <c r="K24" s="62">
        <f>IF(E6="あり",IF($I$25="あり",IF($I$26="あり",ROUNDDOWN(($J$12-$J$13)*1/15,1)+ROUNDDOWN($J$13*1/6,1),ROUNDDOWN($J$12*1/15,1)),IF($I$26="あり",ROUNDDOWN(($J$12-$J$13)*1/20,1)+ROUNDDOWN($J$13*1/6,1),ROUNDDOWN($J$12*1/20,1))),0)</f>
        <v>2.9000000000000004</v>
      </c>
      <c r="L24" s="63">
        <f>ROUNDDOWN(K24,1)</f>
        <v>2.9</v>
      </c>
    </row>
    <row r="25" spans="1:12" ht="17.25" customHeight="1">
      <c r="B25" s="23"/>
      <c r="C25" s="144" t="s">
        <v>87</v>
      </c>
      <c r="D25" s="133"/>
      <c r="E25" s="246" t="s">
        <v>19</v>
      </c>
      <c r="F25" s="145"/>
      <c r="G25" s="174"/>
      <c r="H25" s="175"/>
      <c r="I25" s="274" t="str">
        <f>E25</f>
        <v>あり</v>
      </c>
      <c r="J25" s="145"/>
      <c r="K25" s="174"/>
      <c r="L25" s="175"/>
    </row>
    <row r="26" spans="1:12" ht="17.25" customHeight="1">
      <c r="B26" s="23"/>
      <c r="C26" s="144" t="s">
        <v>88</v>
      </c>
      <c r="D26" s="133"/>
      <c r="E26" s="246" t="s">
        <v>19</v>
      </c>
      <c r="F26" s="145"/>
      <c r="G26" s="174"/>
      <c r="H26" s="175"/>
      <c r="I26" s="274" t="str">
        <f>E26</f>
        <v>あり</v>
      </c>
      <c r="J26" s="145"/>
      <c r="K26" s="174"/>
      <c r="L26" s="175"/>
    </row>
    <row r="27" spans="1:12" ht="17.25" customHeight="1">
      <c r="B27" s="23"/>
      <c r="C27" s="146" t="s">
        <v>62</v>
      </c>
      <c r="D27" s="256"/>
      <c r="E27" s="244"/>
      <c r="F27" s="172">
        <f>F14</f>
        <v>20</v>
      </c>
      <c r="G27" s="112">
        <f>F27*1/6</f>
        <v>3.3333333333333335</v>
      </c>
      <c r="H27" s="113">
        <f>ROUNDDOWN(G27,1)</f>
        <v>3.3</v>
      </c>
      <c r="I27" s="244"/>
      <c r="J27" s="171">
        <f>IF(E$6="あり",J14,0)</f>
        <v>10</v>
      </c>
      <c r="K27" s="112">
        <f>J27*1/6</f>
        <v>1.6666666666666667</v>
      </c>
      <c r="L27" s="113">
        <f>ROUNDDOWN(K27,1)</f>
        <v>1.6</v>
      </c>
    </row>
    <row r="28" spans="1:12" ht="17.25" customHeight="1" thickBot="1">
      <c r="B28" s="23"/>
      <c r="C28" s="94" t="s">
        <v>63</v>
      </c>
      <c r="D28" s="257"/>
      <c r="E28" s="230"/>
      <c r="F28" s="173">
        <f>F15</f>
        <v>10</v>
      </c>
      <c r="G28" s="64">
        <f>F28*1/3</f>
        <v>3.3333333333333335</v>
      </c>
      <c r="H28" s="65">
        <f>ROUNDDOWN(G28,1)</f>
        <v>3.3</v>
      </c>
      <c r="I28" s="230"/>
      <c r="J28" s="330">
        <f>IF(E$6="あり",J15,0)</f>
        <v>10</v>
      </c>
      <c r="K28" s="64">
        <f>J28*1/3</f>
        <v>3.3333333333333335</v>
      </c>
      <c r="L28" s="65">
        <f>ROUNDDOWN(K28,1)</f>
        <v>3.3</v>
      </c>
    </row>
    <row r="29" spans="1:12" ht="17.25" customHeight="1" thickTop="1">
      <c r="B29" s="26"/>
      <c r="C29" s="95" t="s">
        <v>69</v>
      </c>
      <c r="D29" s="147"/>
      <c r="E29" s="261"/>
      <c r="F29" s="28"/>
      <c r="G29" s="66"/>
      <c r="H29" s="67">
        <f>ROUND(SUM(H22:H28),0)</f>
        <v>11</v>
      </c>
      <c r="I29" s="268"/>
      <c r="J29" s="28"/>
      <c r="K29" s="66"/>
      <c r="L29" s="67">
        <f>ROUND(SUM(L22:L28),0)</f>
        <v>9</v>
      </c>
    </row>
    <row r="30" spans="1:12" ht="17.25" customHeight="1">
      <c r="B30" s="31" t="s">
        <v>89</v>
      </c>
      <c r="C30" s="148" t="s">
        <v>90</v>
      </c>
      <c r="D30" s="148"/>
      <c r="E30" s="262"/>
      <c r="F30" s="30"/>
      <c r="G30" s="68"/>
      <c r="H30" s="69">
        <f>IF(F9&lt;=90,1,0.8)</f>
        <v>1</v>
      </c>
      <c r="I30" s="149"/>
      <c r="J30" s="30"/>
      <c r="K30" s="68"/>
      <c r="L30" s="69">
        <f>IF(E6="あり",IF(J9&lt;=90,1,0.8),0)</f>
        <v>1</v>
      </c>
    </row>
    <row r="31" spans="1:12" ht="17.25" customHeight="1">
      <c r="B31" s="31" t="s">
        <v>23</v>
      </c>
      <c r="C31" s="148" t="s">
        <v>91</v>
      </c>
      <c r="D31" s="148"/>
      <c r="E31" s="262"/>
      <c r="F31" s="30"/>
      <c r="G31" s="68"/>
      <c r="H31" s="69">
        <f>IF(F9&lt;=40,1,(IF(F9&lt;=150,2,3)))</f>
        <v>2</v>
      </c>
      <c r="I31" s="149"/>
      <c r="J31" s="30"/>
      <c r="K31" s="68"/>
      <c r="L31" s="69">
        <f>IF(E6="あり",IF(J9&lt;=40,1,(IF(J9&lt;=150,2,3))),0)</f>
        <v>1</v>
      </c>
    </row>
    <row r="32" spans="1:12" ht="17.25" customHeight="1">
      <c r="B32" s="31" t="s">
        <v>92</v>
      </c>
      <c r="C32" s="148" t="s">
        <v>70</v>
      </c>
      <c r="D32" s="148"/>
      <c r="E32" s="249" t="s">
        <v>19</v>
      </c>
      <c r="F32" s="30"/>
      <c r="G32" s="68"/>
      <c r="H32" s="69">
        <f>IF(E32="あり",1.4,0)</f>
        <v>1.4</v>
      </c>
      <c r="I32" s="263" t="s">
        <v>19</v>
      </c>
      <c r="J32" s="273"/>
      <c r="K32" s="68"/>
      <c r="L32" s="69">
        <f>IF(E6="あり",IF(I32="あり",1.4,0),0)</f>
        <v>1.4</v>
      </c>
    </row>
    <row r="33" spans="2:12" ht="17.25" customHeight="1">
      <c r="B33" s="31" t="s">
        <v>93</v>
      </c>
      <c r="C33" s="148" t="s">
        <v>94</v>
      </c>
      <c r="D33" s="148"/>
      <c r="E33" s="276" t="s">
        <v>19</v>
      </c>
      <c r="F33" s="150"/>
      <c r="G33" s="68"/>
      <c r="H33" s="69">
        <f>IF(E33="あり",1,0)</f>
        <v>1</v>
      </c>
      <c r="I33" s="376" t="str">
        <f>IF($E$6="あり","本園分で選択","－")</f>
        <v>本園分で選択</v>
      </c>
      <c r="J33" s="377"/>
      <c r="K33" s="68"/>
      <c r="L33" s="269"/>
    </row>
    <row r="34" spans="2:12" ht="17.25" customHeight="1" thickBot="1">
      <c r="B34" s="31" t="s">
        <v>95</v>
      </c>
      <c r="C34" s="148" t="s">
        <v>22</v>
      </c>
      <c r="D34" s="148"/>
      <c r="E34" s="249" t="s">
        <v>19</v>
      </c>
      <c r="F34" s="275"/>
      <c r="G34" s="68"/>
      <c r="H34" s="69">
        <f>IF(E34="あり",0.8,0)</f>
        <v>0.8</v>
      </c>
      <c r="I34" s="376" t="str">
        <f>IF($E$6="あり","本園分で選択","－")</f>
        <v>本園分で選択</v>
      </c>
      <c r="J34" s="377"/>
      <c r="K34" s="68"/>
      <c r="L34" s="269"/>
    </row>
    <row r="35" spans="2:12" ht="17.25" customHeight="1" thickBot="1">
      <c r="B35" s="31" t="s">
        <v>75</v>
      </c>
      <c r="C35" s="148" t="s">
        <v>24</v>
      </c>
      <c r="D35" s="148"/>
      <c r="E35" s="277" t="s">
        <v>19</v>
      </c>
      <c r="F35" s="1">
        <v>3</v>
      </c>
      <c r="G35" s="68"/>
      <c r="H35" s="69">
        <f>IF(E35="あり",F35,0)</f>
        <v>3</v>
      </c>
      <c r="I35" s="376" t="str">
        <f t="shared" ref="I35:I45" si="0">IF($E$6="あり","本園分で選択","－")</f>
        <v>本園分で選択</v>
      </c>
      <c r="J35" s="377"/>
      <c r="K35" s="68"/>
      <c r="L35" s="269"/>
    </row>
    <row r="36" spans="2:12" ht="17.25" customHeight="1">
      <c r="B36" s="31" t="s">
        <v>96</v>
      </c>
      <c r="C36" s="148" t="s">
        <v>26</v>
      </c>
      <c r="D36" s="148"/>
      <c r="E36" s="249" t="s">
        <v>19</v>
      </c>
      <c r="F36" s="152"/>
      <c r="G36" s="68"/>
      <c r="H36" s="69">
        <f>IF(F8=0,0,IF(E36="あり",IF(F8&lt;=150,0.8,1.5),0))</f>
        <v>1.5</v>
      </c>
      <c r="I36" s="376" t="str">
        <f t="shared" si="0"/>
        <v>本園分で選択</v>
      </c>
      <c r="J36" s="377"/>
      <c r="K36" s="68"/>
      <c r="L36" s="269"/>
    </row>
    <row r="37" spans="2:12" ht="17.25" customHeight="1">
      <c r="B37" s="284" t="s">
        <v>35</v>
      </c>
      <c r="C37" s="287" t="s">
        <v>97</v>
      </c>
      <c r="D37" s="298"/>
      <c r="E37" s="307" t="s">
        <v>19</v>
      </c>
      <c r="F37" s="98"/>
      <c r="G37" s="285"/>
      <c r="H37" s="308">
        <f>IF(F8=0,0,IF(E37="あり",IF(F8&lt;=150,2,3),0))</f>
        <v>3</v>
      </c>
      <c r="I37" s="395" t="str">
        <f t="shared" si="0"/>
        <v>本園分で選択</v>
      </c>
      <c r="J37" s="396"/>
      <c r="K37" s="285"/>
      <c r="L37" s="283"/>
    </row>
    <row r="38" spans="2:12" ht="17.25" customHeight="1">
      <c r="B38" s="31" t="s">
        <v>98</v>
      </c>
      <c r="C38" s="148" t="s">
        <v>73</v>
      </c>
      <c r="D38" s="148"/>
      <c r="E38" s="249" t="s">
        <v>19</v>
      </c>
      <c r="F38" s="30"/>
      <c r="G38" s="68"/>
      <c r="H38" s="69">
        <f>IF(E38="あり",0.5,0)</f>
        <v>0.5</v>
      </c>
      <c r="I38" s="376" t="str">
        <f t="shared" si="0"/>
        <v>本園分で選択</v>
      </c>
      <c r="J38" s="377"/>
      <c r="K38" s="68"/>
      <c r="L38" s="269"/>
    </row>
    <row r="39" spans="2:12" ht="17.25" customHeight="1">
      <c r="B39" s="31" t="s">
        <v>99</v>
      </c>
      <c r="C39" s="148" t="s">
        <v>32</v>
      </c>
      <c r="D39" s="148"/>
      <c r="E39" s="249" t="s">
        <v>19</v>
      </c>
      <c r="F39" s="30"/>
      <c r="G39" s="68"/>
      <c r="H39" s="69">
        <f>IF(E39="あり",0.8,0)</f>
        <v>0.8</v>
      </c>
      <c r="I39" s="376" t="str">
        <f t="shared" si="0"/>
        <v>本園分で選択</v>
      </c>
      <c r="J39" s="377"/>
      <c r="K39" s="68"/>
      <c r="L39" s="269"/>
    </row>
    <row r="40" spans="2:12" ht="17.25" customHeight="1">
      <c r="B40" s="31" t="s">
        <v>100</v>
      </c>
      <c r="C40" s="148" t="s">
        <v>34</v>
      </c>
      <c r="D40" s="148"/>
      <c r="E40" s="249" t="s">
        <v>19</v>
      </c>
      <c r="F40" s="30"/>
      <c r="G40" s="68"/>
      <c r="H40" s="69">
        <f>IF(E40="あり",0.8,0)</f>
        <v>0.8</v>
      </c>
      <c r="I40" s="376" t="str">
        <f t="shared" si="0"/>
        <v>本園分で選択</v>
      </c>
      <c r="J40" s="377"/>
      <c r="K40" s="68"/>
      <c r="L40" s="269"/>
    </row>
    <row r="41" spans="2:12" ht="17.25" customHeight="1">
      <c r="B41" s="31" t="s">
        <v>101</v>
      </c>
      <c r="C41" s="148" t="s">
        <v>36</v>
      </c>
      <c r="D41" s="148"/>
      <c r="E41" s="249" t="s">
        <v>19</v>
      </c>
      <c r="F41" s="30"/>
      <c r="G41" s="68"/>
      <c r="H41" s="69">
        <f>IF(E41="あり",0.8,0)</f>
        <v>0.8</v>
      </c>
      <c r="I41" s="376" t="str">
        <f t="shared" si="0"/>
        <v>本園分で選択</v>
      </c>
      <c r="J41" s="377"/>
      <c r="K41" s="68"/>
      <c r="L41" s="269"/>
    </row>
    <row r="42" spans="2:12" ht="17.25" customHeight="1">
      <c r="B42" s="31" t="s">
        <v>102</v>
      </c>
      <c r="C42" s="343" t="s">
        <v>38</v>
      </c>
      <c r="D42" s="375"/>
      <c r="E42" s="249" t="s">
        <v>19</v>
      </c>
      <c r="F42" s="150"/>
      <c r="G42" s="68"/>
      <c r="H42" s="69">
        <f>IF(E42="あり",0.6,0)</f>
        <v>0.6</v>
      </c>
      <c r="I42" s="278"/>
      <c r="J42" s="279"/>
      <c r="K42" s="68"/>
      <c r="L42" s="269"/>
    </row>
    <row r="43" spans="2:12" ht="17.25" customHeight="1" thickBot="1">
      <c r="B43" s="31" t="s">
        <v>103</v>
      </c>
      <c r="C43" s="148" t="s">
        <v>104</v>
      </c>
      <c r="D43" s="148"/>
      <c r="E43" s="249" t="s">
        <v>19</v>
      </c>
      <c r="F43" s="150"/>
      <c r="G43" s="68"/>
      <c r="H43" s="70">
        <f>IF(E43="あり",-1,0)</f>
        <v>-1</v>
      </c>
      <c r="I43" s="376" t="str">
        <f t="shared" si="0"/>
        <v>本園分で選択</v>
      </c>
      <c r="J43" s="377"/>
      <c r="K43" s="68"/>
      <c r="L43" s="270"/>
    </row>
    <row r="44" spans="2:12" ht="44.25" customHeight="1" thickBot="1">
      <c r="B44" s="31" t="s">
        <v>105</v>
      </c>
      <c r="C44" s="390" t="s">
        <v>106</v>
      </c>
      <c r="D44" s="390"/>
      <c r="E44" s="263" t="s">
        <v>107</v>
      </c>
      <c r="F44" s="153">
        <v>2</v>
      </c>
      <c r="G44" s="176"/>
      <c r="H44" s="70">
        <f>IF(E44="該当",-F44,0)</f>
        <v>-2</v>
      </c>
      <c r="I44" s="376" t="str">
        <f t="shared" si="0"/>
        <v>本園分で選択</v>
      </c>
      <c r="J44" s="377"/>
      <c r="K44" s="176"/>
      <c r="L44" s="270"/>
    </row>
    <row r="45" spans="2:12" ht="24" customHeight="1" thickBot="1">
      <c r="B45" s="31" t="s">
        <v>108</v>
      </c>
      <c r="C45" s="148" t="s">
        <v>109</v>
      </c>
      <c r="D45" s="148"/>
      <c r="E45" s="263" t="s">
        <v>107</v>
      </c>
      <c r="F45" s="153">
        <v>2</v>
      </c>
      <c r="G45" s="176"/>
      <c r="H45" s="70">
        <f>IF(E45="該当",-F45,0)</f>
        <v>-2</v>
      </c>
      <c r="I45" s="376" t="str">
        <f t="shared" si="0"/>
        <v>本園分で選択</v>
      </c>
      <c r="J45" s="377"/>
      <c r="K45" s="176"/>
      <c r="L45" s="270"/>
    </row>
    <row r="46" spans="2:12" ht="24" customHeight="1" thickBot="1">
      <c r="B46" s="154" t="s">
        <v>76</v>
      </c>
      <c r="C46" s="155"/>
      <c r="D46" s="155"/>
      <c r="E46" s="264"/>
      <c r="F46" s="157"/>
      <c r="G46" s="177">
        <f>F8+F9</f>
        <v>290</v>
      </c>
      <c r="H46" s="72">
        <f>IF(G46&lt;=90,1.4,2.2)</f>
        <v>2.2000000000000002</v>
      </c>
      <c r="I46" s="156"/>
      <c r="J46" s="157"/>
      <c r="K46" s="177">
        <f>IF(E6="あり",J8+J9,0)</f>
        <v>90</v>
      </c>
      <c r="L46" s="72">
        <f>IF(E6="あり",IF(K46&lt;=90,1.4,2.2),0)</f>
        <v>1.4</v>
      </c>
    </row>
    <row r="47" spans="2:12" ht="24" customHeight="1" thickTop="1" thickBot="1">
      <c r="B47" s="36" t="s">
        <v>45</v>
      </c>
      <c r="E47" s="245"/>
      <c r="F47" s="37"/>
      <c r="G47" s="73"/>
      <c r="H47" s="74">
        <f>SUM(H29:H46)</f>
        <v>25.400000000000002</v>
      </c>
      <c r="I47" s="9"/>
      <c r="J47" s="37"/>
      <c r="K47" s="73"/>
      <c r="L47" s="74">
        <f>SUM(L29:L46)</f>
        <v>13.8</v>
      </c>
    </row>
    <row r="48" spans="2:12" ht="24" customHeight="1" thickBot="1">
      <c r="B48" s="38" t="s">
        <v>46</v>
      </c>
      <c r="C48" s="39"/>
      <c r="D48" s="39"/>
      <c r="E48" s="215"/>
      <c r="F48" s="40"/>
      <c r="G48" s="75"/>
      <c r="H48" s="196">
        <f>ROUND(H47,0)</f>
        <v>25</v>
      </c>
      <c r="I48" s="39"/>
      <c r="J48" s="40"/>
      <c r="K48" s="75"/>
      <c r="L48" s="196">
        <f>ROUND(L47,0)</f>
        <v>14</v>
      </c>
    </row>
    <row r="49" spans="1:8" ht="12" customHeight="1">
      <c r="G49" s="43"/>
    </row>
    <row r="50" spans="1:8" ht="21.75" customHeight="1" thickBot="1">
      <c r="A50" s="13" t="s">
        <v>48</v>
      </c>
      <c r="E50" s="9"/>
      <c r="G50" s="44"/>
      <c r="H50" s="42"/>
    </row>
    <row r="51" spans="1:8" ht="21.75" customHeight="1" thickBot="1">
      <c r="B51" s="49" t="s">
        <v>49</v>
      </c>
      <c r="C51" s="46"/>
      <c r="D51" s="46"/>
      <c r="E51" s="39"/>
      <c r="F51" s="103"/>
      <c r="G51" s="47">
        <f>(H48+L48)/3</f>
        <v>13</v>
      </c>
      <c r="H51" s="82">
        <f>IF(ROUND(G51,0)=0,1,ROUND(G51,0))</f>
        <v>13</v>
      </c>
    </row>
    <row r="52" spans="1:8" ht="21.75" customHeight="1" thickBot="1">
      <c r="B52" s="48" t="s">
        <v>50</v>
      </c>
      <c r="C52" s="299"/>
      <c r="D52" s="299"/>
      <c r="E52" s="300"/>
      <c r="F52" s="158"/>
      <c r="G52" s="301">
        <f>(H48+L48)/5</f>
        <v>7.8</v>
      </c>
      <c r="H52" s="302">
        <f>IF(ROUND(G52,0)=0,1,ROUND(G52,0))</f>
        <v>8</v>
      </c>
    </row>
    <row r="53" spans="1:8" ht="21.75" customHeight="1">
      <c r="E53" s="9"/>
      <c r="H53" s="43"/>
    </row>
    <row r="54" spans="1:8" ht="21.75" customHeight="1" thickBot="1">
      <c r="A54" s="13" t="s">
        <v>51</v>
      </c>
      <c r="E54" s="9"/>
    </row>
    <row r="55" spans="1:8" ht="21.75" customHeight="1" thickBot="1">
      <c r="B55" s="159"/>
      <c r="C55" s="50">
        <v>50300</v>
      </c>
      <c r="D55" s="50" t="s">
        <v>77</v>
      </c>
      <c r="E55" s="50"/>
      <c r="F55" s="160"/>
      <c r="G55" s="161"/>
      <c r="H55" s="84">
        <f>C55*H51</f>
        <v>653900</v>
      </c>
    </row>
    <row r="56" spans="1:8" ht="21.75" customHeight="1" thickBot="1">
      <c r="B56" s="162"/>
      <c r="C56" s="53">
        <v>6290</v>
      </c>
      <c r="D56" s="53" t="s">
        <v>78</v>
      </c>
      <c r="E56" s="53"/>
      <c r="F56" s="163"/>
      <c r="G56" s="164"/>
      <c r="H56" s="86">
        <f>C56*H52</f>
        <v>50320</v>
      </c>
    </row>
    <row r="57" spans="1:8" ht="21.75" customHeight="1" thickTop="1" thickBot="1">
      <c r="B57" s="165"/>
      <c r="C57" s="166" t="s">
        <v>79</v>
      </c>
      <c r="D57" s="167"/>
      <c r="E57" s="167"/>
      <c r="F57" s="167"/>
      <c r="G57" s="167"/>
      <c r="H57" s="88">
        <f>SUM(H55:H56)</f>
        <v>704220</v>
      </c>
    </row>
    <row r="58" spans="1:8" ht="33.75" customHeight="1"/>
    <row r="59" spans="1:8" ht="33.75" customHeight="1"/>
    <row r="60" spans="1:8" ht="33.75" customHeight="1"/>
    <row r="61" spans="1:8" ht="33.75" customHeight="1"/>
    <row r="62" spans="1:8" ht="33.75" customHeight="1"/>
    <row r="63" spans="1:8" ht="33.75" customHeight="1"/>
    <row r="64" spans="1:8" ht="33.75" customHeight="1"/>
    <row r="65" ht="33.75" customHeight="1"/>
    <row r="66" ht="33.75" customHeight="1"/>
    <row r="67" ht="33.7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sheetData>
  <mergeCells count="31">
    <mergeCell ref="C42:D42"/>
    <mergeCell ref="I37:J37"/>
    <mergeCell ref="B2:C2"/>
    <mergeCell ref="D2:H2"/>
    <mergeCell ref="B5:D5"/>
    <mergeCell ref="B6:D6"/>
    <mergeCell ref="I35:J35"/>
    <mergeCell ref="I34:J34"/>
    <mergeCell ref="I41:J41"/>
    <mergeCell ref="C44:D44"/>
    <mergeCell ref="G20:H20"/>
    <mergeCell ref="B7:E7"/>
    <mergeCell ref="B10:E10"/>
    <mergeCell ref="C11:D11"/>
    <mergeCell ref="C12:D12"/>
    <mergeCell ref="C14:D14"/>
    <mergeCell ref="C15:D15"/>
    <mergeCell ref="C9:E9"/>
    <mergeCell ref="C8:E8"/>
    <mergeCell ref="C16:L16"/>
    <mergeCell ref="E19:H19"/>
    <mergeCell ref="I19:L19"/>
    <mergeCell ref="K20:L20"/>
    <mergeCell ref="I33:J33"/>
    <mergeCell ref="I43:J43"/>
    <mergeCell ref="I44:J44"/>
    <mergeCell ref="I45:J45"/>
    <mergeCell ref="I36:J36"/>
    <mergeCell ref="I38:J38"/>
    <mergeCell ref="I39:J39"/>
    <mergeCell ref="I40:J40"/>
  </mergeCells>
  <phoneticPr fontId="1"/>
  <dataValidations count="2">
    <dataValidation type="list" allowBlank="1" showInputMessage="1" showErrorMessage="1" sqref="E25:E26 E46 I32 E6 I25:I26 I46 E32:E43 E23 I23" xr:uid="{00000000-0002-0000-0200-000000000000}">
      <formula1>"　,あり,なし"</formula1>
    </dataValidation>
    <dataValidation type="list" allowBlank="1" showInputMessage="1" showErrorMessage="1" sqref="E44:E45" xr:uid="{00000000-0002-0000-0200-000001000000}">
      <formula1>"　,該当,非該当"</formula1>
    </dataValidation>
  </dataValidations>
  <pageMargins left="0.9055118110236221" right="0.55118110236220474" top="0.53" bottom="0.19685039370078741" header="0.31496062992125984" footer="0.19685039370078741"/>
  <pageSetup paperSize="9" scale="73"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103"/>
  <sheetViews>
    <sheetView zoomScaleNormal="100" workbookViewId="0">
      <selection activeCell="I2" sqref="I2"/>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0.19921875" style="10" customWidth="1"/>
    <col min="8" max="8" width="13.8984375" style="10" customWidth="1"/>
    <col min="9" max="9" width="9" style="10"/>
    <col min="10" max="16384" width="9" style="11"/>
  </cols>
  <sheetData>
    <row r="1" spans="1:10" s="8" customFormat="1" ht="31.5" customHeight="1">
      <c r="A1" s="5" t="s">
        <v>110</v>
      </c>
      <c r="B1" s="6"/>
      <c r="C1" s="6"/>
      <c r="D1" s="6"/>
      <c r="E1" s="6"/>
      <c r="F1" s="7"/>
      <c r="G1" s="7"/>
      <c r="H1" s="7"/>
      <c r="I1" s="7"/>
    </row>
    <row r="2" spans="1:10" ht="30.75" customHeight="1">
      <c r="A2" s="5" t="s">
        <v>111</v>
      </c>
    </row>
    <row r="3" spans="1:10" ht="30.75" customHeight="1">
      <c r="A3" s="5" t="s">
        <v>134</v>
      </c>
    </row>
    <row r="4" spans="1:10" ht="21.75" customHeight="1" thickBot="1">
      <c r="A4" s="5"/>
    </row>
    <row r="5" spans="1:10" ht="19.5" customHeight="1" thickBot="1">
      <c r="A5" s="9"/>
      <c r="B5" s="378" t="s">
        <v>1</v>
      </c>
      <c r="C5" s="378"/>
      <c r="D5" s="336" t="s">
        <v>56</v>
      </c>
      <c r="E5" s="337"/>
      <c r="F5" s="337"/>
      <c r="G5" s="337"/>
      <c r="H5" s="338"/>
    </row>
    <row r="6" spans="1:10" ht="19.5" customHeight="1">
      <c r="A6" s="9"/>
      <c r="C6" s="12"/>
      <c r="D6" s="12"/>
      <c r="E6" s="12"/>
      <c r="F6" s="12"/>
      <c r="G6" s="12"/>
      <c r="H6" s="12"/>
    </row>
    <row r="7" spans="1:10" ht="19.5" customHeight="1" thickBot="1">
      <c r="A7" s="13" t="s">
        <v>85</v>
      </c>
    </row>
    <row r="8" spans="1:10" ht="33.75" customHeight="1">
      <c r="B8" s="342"/>
      <c r="C8" s="343"/>
      <c r="D8" s="349"/>
      <c r="E8" s="18" t="s">
        <v>13</v>
      </c>
      <c r="F8" s="19" t="s">
        <v>14</v>
      </c>
      <c r="G8" s="379" t="s">
        <v>15</v>
      </c>
      <c r="H8" s="405"/>
    </row>
    <row r="9" spans="1:10" ht="24" customHeight="1" thickBot="1">
      <c r="B9" s="20" t="s">
        <v>16</v>
      </c>
      <c r="C9" s="89" t="s">
        <v>65</v>
      </c>
      <c r="D9" s="89"/>
      <c r="E9" s="21"/>
      <c r="F9" s="22"/>
      <c r="G9" s="60"/>
      <c r="H9" s="61"/>
    </row>
    <row r="10" spans="1:10" ht="28.5" customHeight="1" thickBot="1">
      <c r="B10" s="23"/>
      <c r="C10" s="398" t="s">
        <v>112</v>
      </c>
      <c r="D10" s="399"/>
      <c r="E10" s="142"/>
      <c r="F10" s="1">
        <v>1</v>
      </c>
      <c r="G10" s="106">
        <f>F10*1/30</f>
        <v>3.3333333333333333E-2</v>
      </c>
      <c r="H10" s="107">
        <f>ROUNDDOWN(G10,1)</f>
        <v>0</v>
      </c>
      <c r="J10" s="25"/>
    </row>
    <row r="11" spans="1:10" ht="28.5" customHeight="1" thickBot="1">
      <c r="B11" s="23"/>
      <c r="C11" s="400" t="s">
        <v>113</v>
      </c>
      <c r="D11" s="401"/>
      <c r="E11" s="24"/>
      <c r="F11" s="1">
        <v>5</v>
      </c>
      <c r="G11" s="62">
        <f>F11*1/20</f>
        <v>0.25</v>
      </c>
      <c r="H11" s="63">
        <f>ROUNDDOWN(G11,1)</f>
        <v>0.2</v>
      </c>
      <c r="J11" s="25"/>
    </row>
    <row r="12" spans="1:10" ht="28.5" customHeight="1" thickBot="1">
      <c r="B12" s="23"/>
      <c r="C12" s="400" t="s">
        <v>114</v>
      </c>
      <c r="D12" s="401"/>
      <c r="E12" s="24"/>
      <c r="F12" s="1">
        <v>10</v>
      </c>
      <c r="G12" s="62">
        <f>F12*1/6</f>
        <v>1.6666666666666667</v>
      </c>
      <c r="H12" s="63">
        <f>ROUNDDOWN(G12,1)</f>
        <v>1.6</v>
      </c>
      <c r="J12" s="25"/>
    </row>
    <row r="13" spans="1:10" ht="28.5" customHeight="1" thickBot="1">
      <c r="B13" s="23"/>
      <c r="C13" s="400" t="s">
        <v>115</v>
      </c>
      <c r="D13" s="355"/>
      <c r="E13" s="24"/>
      <c r="F13" s="1">
        <v>4</v>
      </c>
      <c r="G13" s="62">
        <f>F13*1/3</f>
        <v>1.3333333333333333</v>
      </c>
      <c r="H13" s="63">
        <f>ROUNDDOWN(G13,1)</f>
        <v>1.3</v>
      </c>
      <c r="J13" s="25"/>
    </row>
    <row r="14" spans="1:10" ht="24" customHeight="1" thickBot="1">
      <c r="B14" s="23"/>
      <c r="C14" s="354" t="s">
        <v>116</v>
      </c>
      <c r="D14" s="355"/>
      <c r="E14" s="121" t="s">
        <v>19</v>
      </c>
      <c r="F14" s="1">
        <v>6</v>
      </c>
      <c r="G14" s="62">
        <f>IF(E14="あり",F14/2,0)</f>
        <v>3</v>
      </c>
      <c r="H14" s="63">
        <f>ROUNDDOWN(G14,1)</f>
        <v>3</v>
      </c>
      <c r="J14" s="25"/>
    </row>
    <row r="15" spans="1:10" ht="24" customHeight="1" thickBot="1">
      <c r="B15" s="26"/>
      <c r="C15" s="410" t="s">
        <v>117</v>
      </c>
      <c r="D15" s="411"/>
      <c r="E15" s="122"/>
      <c r="F15" s="123"/>
      <c r="G15" s="127"/>
      <c r="H15" s="128">
        <v>1</v>
      </c>
      <c r="J15" s="25"/>
    </row>
    <row r="16" spans="1:10" ht="24" customHeight="1" thickTop="1">
      <c r="B16" s="26"/>
      <c r="C16" s="408" t="s">
        <v>69</v>
      </c>
      <c r="D16" s="409"/>
      <c r="E16" s="27"/>
      <c r="F16" s="28"/>
      <c r="G16" s="66"/>
      <c r="H16" s="67">
        <f>ROUND(SUM(H10:H15),0)</f>
        <v>7</v>
      </c>
      <c r="J16" s="25"/>
    </row>
    <row r="17" spans="1:9" ht="24" customHeight="1">
      <c r="B17" s="29" t="s">
        <v>21</v>
      </c>
      <c r="C17" s="343" t="s">
        <v>70</v>
      </c>
      <c r="D17" s="349"/>
      <c r="E17" s="4" t="s">
        <v>19</v>
      </c>
      <c r="F17" s="30"/>
      <c r="G17" s="68"/>
      <c r="H17" s="69">
        <f>IF(E17="あり",0.4,0)</f>
        <v>0.4</v>
      </c>
    </row>
    <row r="18" spans="1:9" ht="24" customHeight="1">
      <c r="B18" s="29" t="s">
        <v>23</v>
      </c>
      <c r="C18" s="343" t="s">
        <v>73</v>
      </c>
      <c r="D18" s="349"/>
      <c r="E18" s="4" t="s">
        <v>19</v>
      </c>
      <c r="F18" s="30"/>
      <c r="G18" s="68"/>
      <c r="H18" s="69">
        <f>IF(E18="あり",0.5,0)</f>
        <v>0.5</v>
      </c>
    </row>
    <row r="19" spans="1:9" ht="24" customHeight="1">
      <c r="B19" s="29" t="s">
        <v>92</v>
      </c>
      <c r="C19" s="148" t="s">
        <v>38</v>
      </c>
      <c r="D19" s="280"/>
      <c r="E19" s="4" t="s">
        <v>19</v>
      </c>
      <c r="F19" s="30"/>
      <c r="G19" s="68"/>
      <c r="H19" s="69">
        <f>IF(E19="あり",0.6,0)</f>
        <v>0.6</v>
      </c>
    </row>
    <row r="20" spans="1:9" ht="27.75" customHeight="1">
      <c r="B20" s="31" t="s">
        <v>93</v>
      </c>
      <c r="C20" s="406" t="s">
        <v>118</v>
      </c>
      <c r="D20" s="407"/>
      <c r="E20" s="4" t="s">
        <v>19</v>
      </c>
      <c r="F20" s="30"/>
      <c r="G20" s="68"/>
      <c r="H20" s="70">
        <f>IF(E20="あり",-1,0)</f>
        <v>-1</v>
      </c>
    </row>
    <row r="21" spans="1:9" ht="27.75" customHeight="1" thickBot="1">
      <c r="B21" s="32" t="s">
        <v>119</v>
      </c>
      <c r="C21" s="33"/>
      <c r="D21" s="33"/>
      <c r="E21" s="34"/>
      <c r="F21" s="35"/>
      <c r="G21" s="71"/>
      <c r="H21" s="118">
        <v>1.3</v>
      </c>
    </row>
    <row r="22" spans="1:9" ht="24" customHeight="1" thickTop="1" thickBot="1">
      <c r="B22" s="36" t="s">
        <v>45</v>
      </c>
      <c r="F22" s="37"/>
      <c r="G22" s="73"/>
      <c r="H22" s="74">
        <f>SUM(H16:H21)</f>
        <v>8.8000000000000007</v>
      </c>
    </row>
    <row r="23" spans="1:9" ht="24" customHeight="1" thickBot="1">
      <c r="B23" s="124" t="s">
        <v>46</v>
      </c>
      <c r="C23" s="125"/>
      <c r="D23" s="125"/>
      <c r="E23" s="125"/>
      <c r="F23" s="126"/>
      <c r="G23" s="75"/>
      <c r="H23" s="196">
        <f>ROUND(H22,0)</f>
        <v>9</v>
      </c>
    </row>
    <row r="24" spans="1:9" ht="24" customHeight="1">
      <c r="B24" s="41"/>
      <c r="G24" s="42"/>
      <c r="H24" s="43"/>
    </row>
    <row r="25" spans="1:9" ht="33.75" customHeight="1" thickBot="1">
      <c r="A25" s="13" t="s">
        <v>48</v>
      </c>
      <c r="F25" s="9"/>
      <c r="H25" s="44"/>
      <c r="I25" s="42"/>
    </row>
    <row r="26" spans="1:9" ht="25.5" customHeight="1" thickBot="1">
      <c r="B26" s="402" t="s">
        <v>49</v>
      </c>
      <c r="C26" s="403"/>
      <c r="D26" s="403"/>
      <c r="E26" s="403"/>
      <c r="F26" s="404"/>
      <c r="G26" s="47">
        <f>H23/3</f>
        <v>3</v>
      </c>
      <c r="H26" s="82">
        <f>IF(ROUND(G26,0)=0,1,ROUND(G26,0))</f>
        <v>3</v>
      </c>
      <c r="I26" s="11"/>
    </row>
    <row r="27" spans="1:9" ht="25.5" customHeight="1" thickBot="1">
      <c r="B27" s="365" t="s">
        <v>50</v>
      </c>
      <c r="C27" s="366"/>
      <c r="D27" s="366"/>
      <c r="E27" s="366"/>
      <c r="F27" s="367"/>
      <c r="G27" s="47">
        <f>H23/5</f>
        <v>1.8</v>
      </c>
      <c r="H27" s="82">
        <f>IF(ROUND(G27,0)=0,1,ROUND(G27,0))</f>
        <v>2</v>
      </c>
      <c r="I27" s="11"/>
    </row>
    <row r="28" spans="1:9" ht="25.5" customHeight="1">
      <c r="F28" s="9"/>
      <c r="H28" s="43"/>
      <c r="I28" s="11"/>
    </row>
    <row r="29" spans="1:9" ht="25.5" customHeight="1" thickBot="1">
      <c r="A29" s="13" t="s">
        <v>51</v>
      </c>
      <c r="F29" s="9"/>
      <c r="I29" s="11"/>
    </row>
    <row r="30" spans="1:9" ht="25.5" customHeight="1" thickBot="1">
      <c r="B30" s="49"/>
      <c r="C30" s="50">
        <v>49010</v>
      </c>
      <c r="D30" s="46" t="s">
        <v>77</v>
      </c>
      <c r="E30" s="46"/>
      <c r="F30" s="46"/>
      <c r="G30" s="51"/>
      <c r="H30" s="84">
        <f>C30*H26</f>
        <v>147030</v>
      </c>
      <c r="I30" s="11"/>
    </row>
    <row r="31" spans="1:9" ht="25.5" customHeight="1" thickBot="1">
      <c r="B31" s="52"/>
      <c r="C31" s="53">
        <v>6130</v>
      </c>
      <c r="D31" s="54" t="s">
        <v>78</v>
      </c>
      <c r="E31" s="54"/>
      <c r="F31" s="54"/>
      <c r="G31" s="55"/>
      <c r="H31" s="86">
        <f>C31*H27</f>
        <v>12260</v>
      </c>
      <c r="I31" s="11"/>
    </row>
    <row r="32" spans="1:9" ht="25.5" customHeight="1" thickTop="1" thickBot="1">
      <c r="B32" s="56"/>
      <c r="C32" s="57" t="s">
        <v>79</v>
      </c>
      <c r="D32" s="57"/>
      <c r="E32" s="59"/>
      <c r="F32" s="59"/>
      <c r="G32" s="59"/>
      <c r="H32" s="88">
        <f>SUM(H30:H31)</f>
        <v>159290</v>
      </c>
    </row>
    <row r="33" ht="33.75" customHeight="1"/>
    <row r="34" ht="33.75" customHeight="1"/>
    <row r="35" ht="33.75" customHeight="1"/>
    <row r="36" ht="33.75" customHeight="1"/>
    <row r="37" ht="33.75" customHeight="1"/>
    <row r="38" ht="33.75" customHeight="1"/>
    <row r="39" ht="33.75" customHeight="1"/>
    <row r="40" ht="33.75" customHeight="1"/>
    <row r="41" ht="33.75" customHeight="1"/>
    <row r="42" ht="33.7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sheetData>
  <mergeCells count="16">
    <mergeCell ref="B5:C5"/>
    <mergeCell ref="C10:D10"/>
    <mergeCell ref="C11:D11"/>
    <mergeCell ref="D5:H5"/>
    <mergeCell ref="B27:F27"/>
    <mergeCell ref="B26:F26"/>
    <mergeCell ref="G8:H8"/>
    <mergeCell ref="C20:D20"/>
    <mergeCell ref="C18:D18"/>
    <mergeCell ref="C17:D17"/>
    <mergeCell ref="C16:D16"/>
    <mergeCell ref="C15:D15"/>
    <mergeCell ref="C13:D13"/>
    <mergeCell ref="C14:D14"/>
    <mergeCell ref="C12:D12"/>
    <mergeCell ref="B8:D8"/>
  </mergeCells>
  <phoneticPr fontId="1"/>
  <dataValidations count="1">
    <dataValidation type="list" allowBlank="1" showInputMessage="1" showErrorMessage="1" sqref="E14 E17:E20" xr:uid="{00000000-0002-0000-0300-000000000000}">
      <formula1>"　,あり,なし"</formula1>
    </dataValidation>
  </dataValidations>
  <pageMargins left="0.92" right="0.56000000000000005" top="0.75" bottom="0.75" header="0.3" footer="0.3"/>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J105"/>
  <sheetViews>
    <sheetView topLeftCell="A10" zoomScaleNormal="100" workbookViewId="0">
      <selection activeCell="I34" sqref="I34"/>
    </sheetView>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8" style="10" customWidth="1"/>
    <col min="7" max="7" width="10.19921875" style="10" hidden="1" customWidth="1"/>
    <col min="8" max="8" width="14.3984375" style="10" customWidth="1"/>
    <col min="9" max="9" width="9" style="10"/>
    <col min="10" max="16384" width="9" style="11"/>
  </cols>
  <sheetData>
    <row r="1" spans="1:10" s="8" customFormat="1" ht="31.5" customHeight="1">
      <c r="A1" s="5" t="s">
        <v>110</v>
      </c>
      <c r="B1" s="6"/>
      <c r="C1" s="6"/>
      <c r="D1" s="6"/>
      <c r="E1" s="6"/>
      <c r="F1" s="7"/>
      <c r="G1" s="7"/>
      <c r="H1" s="7"/>
      <c r="I1" s="7"/>
    </row>
    <row r="2" spans="1:10" ht="30.75" customHeight="1">
      <c r="A2" s="5" t="s">
        <v>120</v>
      </c>
    </row>
    <row r="3" spans="1:10" ht="21.75" customHeight="1" thickBot="1">
      <c r="A3" s="5"/>
    </row>
    <row r="4" spans="1:10" ht="19.5" customHeight="1" thickBot="1">
      <c r="A4" s="9"/>
      <c r="B4" s="378" t="s">
        <v>1</v>
      </c>
      <c r="C4" s="378"/>
      <c r="D4" s="336" t="s">
        <v>56</v>
      </c>
      <c r="E4" s="337"/>
      <c r="F4" s="337"/>
      <c r="G4" s="337"/>
      <c r="H4" s="338"/>
    </row>
    <row r="5" spans="1:10" ht="19.5" customHeight="1">
      <c r="A5" s="9"/>
      <c r="C5" s="12"/>
      <c r="D5" s="12"/>
      <c r="E5" s="12"/>
      <c r="F5" s="12"/>
      <c r="G5" s="12"/>
      <c r="H5" s="12"/>
    </row>
    <row r="6" spans="1:10" ht="19.5" customHeight="1" thickBot="1">
      <c r="A6" s="13" t="s">
        <v>3</v>
      </c>
      <c r="E6" s="12"/>
      <c r="F6" s="12"/>
      <c r="G6" s="12"/>
      <c r="H6" s="12"/>
    </row>
    <row r="7" spans="1:10" ht="35.25" customHeight="1" thickBot="1">
      <c r="A7" s="13"/>
      <c r="B7" s="344"/>
      <c r="C7" s="345"/>
      <c r="D7" s="345"/>
      <c r="E7" s="345"/>
      <c r="F7" s="14" t="s">
        <v>14</v>
      </c>
      <c r="G7" s="12"/>
      <c r="H7" s="12"/>
      <c r="I7" s="12"/>
      <c r="J7" s="10"/>
    </row>
    <row r="8" spans="1:10" ht="19.5" customHeight="1" thickBot="1">
      <c r="A8" s="13"/>
      <c r="B8" s="342" t="s">
        <v>5</v>
      </c>
      <c r="C8" s="343"/>
      <c r="D8" s="343"/>
      <c r="E8" s="343"/>
      <c r="F8" s="1">
        <v>31</v>
      </c>
      <c r="G8" s="12"/>
      <c r="H8" s="12"/>
      <c r="I8" s="12"/>
      <c r="J8" s="10"/>
    </row>
    <row r="9" spans="1:10" ht="19.5" customHeight="1">
      <c r="A9" s="13"/>
      <c r="B9" s="15"/>
      <c r="C9" s="15"/>
      <c r="D9" s="15"/>
      <c r="E9" s="15"/>
      <c r="F9" s="16"/>
      <c r="G9" s="12"/>
      <c r="H9" s="12"/>
      <c r="I9" s="12"/>
      <c r="J9" s="10"/>
    </row>
    <row r="10" spans="1:10" ht="19.5" customHeight="1" thickBot="1">
      <c r="A10" s="13" t="s">
        <v>85</v>
      </c>
    </row>
    <row r="11" spans="1:10" ht="33.75" customHeight="1">
      <c r="B11" s="17"/>
      <c r="C11" s="343"/>
      <c r="D11" s="349"/>
      <c r="E11" s="18" t="s">
        <v>13</v>
      </c>
      <c r="F11" s="19" t="s">
        <v>14</v>
      </c>
      <c r="G11" s="412" t="s">
        <v>15</v>
      </c>
      <c r="H11" s="413"/>
    </row>
    <row r="12" spans="1:10" ht="24" customHeight="1" thickBot="1">
      <c r="B12" s="20" t="s">
        <v>16</v>
      </c>
      <c r="C12" s="341" t="s">
        <v>65</v>
      </c>
      <c r="D12" s="414"/>
      <c r="E12" s="21"/>
      <c r="F12" s="22"/>
      <c r="G12" s="60"/>
      <c r="H12" s="61"/>
    </row>
    <row r="13" spans="1:10" ht="33.75" customHeight="1" thickBot="1">
      <c r="B13" s="26"/>
      <c r="C13" s="398" t="s">
        <v>112</v>
      </c>
      <c r="D13" s="399"/>
      <c r="E13" s="142"/>
      <c r="F13" s="1">
        <v>1</v>
      </c>
      <c r="G13" s="106">
        <f>F13*1/30</f>
        <v>3.3333333333333333E-2</v>
      </c>
      <c r="H13" s="107">
        <f>ROUNDDOWN(G13,1)</f>
        <v>0</v>
      </c>
    </row>
    <row r="14" spans="1:10" ht="33.75" customHeight="1" thickBot="1">
      <c r="B14" s="26"/>
      <c r="C14" s="400" t="s">
        <v>113</v>
      </c>
      <c r="D14" s="401"/>
      <c r="E14" s="24"/>
      <c r="F14" s="1">
        <v>2</v>
      </c>
      <c r="G14" s="62">
        <f>F14*1/20</f>
        <v>0.1</v>
      </c>
      <c r="H14" s="63">
        <f>ROUNDDOWN(G14,1)</f>
        <v>0.1</v>
      </c>
    </row>
    <row r="15" spans="1:10" ht="33" customHeight="1" thickBot="1">
      <c r="B15" s="23"/>
      <c r="C15" s="400" t="s">
        <v>121</v>
      </c>
      <c r="D15" s="401"/>
      <c r="E15" s="24"/>
      <c r="F15" s="1">
        <v>10</v>
      </c>
      <c r="G15" s="62">
        <f>F15*1/6</f>
        <v>1.6666666666666667</v>
      </c>
      <c r="H15" s="63">
        <f>ROUNDDOWN(G15,1)</f>
        <v>1.6</v>
      </c>
      <c r="J15" s="25"/>
    </row>
    <row r="16" spans="1:10" ht="30.75" customHeight="1" thickBot="1">
      <c r="B16" s="23"/>
      <c r="C16" s="400" t="s">
        <v>115</v>
      </c>
      <c r="D16" s="355"/>
      <c r="E16" s="24"/>
      <c r="F16" s="1">
        <v>4</v>
      </c>
      <c r="G16" s="62">
        <f>F16*1/3</f>
        <v>1.3333333333333333</v>
      </c>
      <c r="H16" s="63">
        <f>ROUNDDOWN(G16,1)</f>
        <v>1.3</v>
      </c>
      <c r="J16" s="25"/>
    </row>
    <row r="17" spans="1:10" ht="30.75" customHeight="1" thickBot="1">
      <c r="B17" s="23"/>
      <c r="C17" s="410" t="s">
        <v>116</v>
      </c>
      <c r="D17" s="411"/>
      <c r="E17" s="3" t="s">
        <v>122</v>
      </c>
      <c r="F17" s="2">
        <v>5</v>
      </c>
      <c r="G17" s="64">
        <f>IF(E17="あり",F17/2,0)</f>
        <v>0</v>
      </c>
      <c r="H17" s="65">
        <f>ROUNDDOWN(G17,1)</f>
        <v>0</v>
      </c>
      <c r="J17" s="25"/>
    </row>
    <row r="18" spans="1:10" ht="24" customHeight="1" thickTop="1">
      <c r="B18" s="26"/>
      <c r="C18" s="415" t="s">
        <v>69</v>
      </c>
      <c r="D18" s="416"/>
      <c r="E18" s="27"/>
      <c r="F18" s="28"/>
      <c r="G18" s="66"/>
      <c r="H18" s="67">
        <f>ROUND(SUM(H13:H17),0)</f>
        <v>3</v>
      </c>
      <c r="J18" s="25"/>
    </row>
    <row r="19" spans="1:10" ht="24" customHeight="1">
      <c r="B19" s="29" t="s">
        <v>21</v>
      </c>
      <c r="C19" s="343" t="s">
        <v>70</v>
      </c>
      <c r="D19" s="349"/>
      <c r="E19" s="4" t="s">
        <v>19</v>
      </c>
      <c r="F19" s="30"/>
      <c r="G19" s="68"/>
      <c r="H19" s="69">
        <f>IF(E19="あり",1.4,0)</f>
        <v>1.4</v>
      </c>
    </row>
    <row r="20" spans="1:10" ht="24" customHeight="1">
      <c r="B20" s="29" t="s">
        <v>23</v>
      </c>
      <c r="C20" s="343" t="s">
        <v>73</v>
      </c>
      <c r="D20" s="349"/>
      <c r="E20" s="4" t="s">
        <v>19</v>
      </c>
      <c r="F20" s="30"/>
      <c r="G20" s="68"/>
      <c r="H20" s="69">
        <f>IF(E20="あり",0.5,0)</f>
        <v>0.5</v>
      </c>
    </row>
    <row r="21" spans="1:10" ht="24" customHeight="1">
      <c r="B21" s="29" t="s">
        <v>92</v>
      </c>
      <c r="C21" s="148" t="s">
        <v>38</v>
      </c>
      <c r="D21" s="280"/>
      <c r="E21" s="4" t="s">
        <v>19</v>
      </c>
      <c r="F21" s="30"/>
      <c r="G21" s="68"/>
      <c r="H21" s="69">
        <f>IF(E21="あり",0.6,0)</f>
        <v>0.6</v>
      </c>
    </row>
    <row r="22" spans="1:10" ht="27.75" customHeight="1">
      <c r="B22" s="31" t="s">
        <v>93</v>
      </c>
      <c r="C22" s="406" t="s">
        <v>118</v>
      </c>
      <c r="D22" s="407"/>
      <c r="E22" s="4" t="s">
        <v>19</v>
      </c>
      <c r="F22" s="30"/>
      <c r="G22" s="68"/>
      <c r="H22" s="70">
        <f>IF(E22="あり",IF(F8&lt;=40,-1,-2),0)</f>
        <v>-1</v>
      </c>
    </row>
    <row r="23" spans="1:10" ht="27.75" customHeight="1" thickBot="1">
      <c r="B23" s="32" t="s">
        <v>123</v>
      </c>
      <c r="C23" s="33"/>
      <c r="D23" s="33"/>
      <c r="E23" s="34"/>
      <c r="F23" s="35"/>
      <c r="G23" s="71"/>
      <c r="H23" s="72">
        <f>IF(F8&lt;=40,1.5,2.5)</f>
        <v>1.5</v>
      </c>
    </row>
    <row r="24" spans="1:10" ht="24" customHeight="1" thickTop="1" thickBot="1">
      <c r="B24" s="36" t="s">
        <v>45</v>
      </c>
      <c r="F24" s="37"/>
      <c r="G24" s="73"/>
      <c r="H24" s="74">
        <f>SUM(H18:H23)</f>
        <v>6</v>
      </c>
    </row>
    <row r="25" spans="1:10" ht="24" customHeight="1" thickBot="1">
      <c r="B25" s="38" t="s">
        <v>46</v>
      </c>
      <c r="C25" s="39"/>
      <c r="D25" s="39"/>
      <c r="E25" s="39"/>
      <c r="F25" s="40"/>
      <c r="G25" s="75"/>
      <c r="H25" s="196">
        <f>ROUND(H24,0)</f>
        <v>6</v>
      </c>
    </row>
    <row r="26" spans="1:10" ht="24" customHeight="1">
      <c r="B26" s="41"/>
      <c r="G26" s="77"/>
      <c r="H26" s="78"/>
    </row>
    <row r="27" spans="1:10" ht="33.75" customHeight="1" thickBot="1">
      <c r="A27" s="13" t="s">
        <v>48</v>
      </c>
      <c r="F27" s="9"/>
      <c r="G27" s="79"/>
      <c r="H27" s="80"/>
      <c r="I27" s="42"/>
    </row>
    <row r="28" spans="1:10" ht="25.5" customHeight="1" thickBot="1">
      <c r="B28" s="45" t="s">
        <v>49</v>
      </c>
      <c r="C28" s="46"/>
      <c r="D28" s="46"/>
      <c r="E28" s="46"/>
      <c r="F28" s="39"/>
      <c r="G28" s="81">
        <f>H25/3</f>
        <v>2</v>
      </c>
      <c r="H28" s="82">
        <f>IF(ROUND(G28,0)=0,1,ROUND(G28,0))</f>
        <v>2</v>
      </c>
      <c r="I28" s="11"/>
    </row>
    <row r="29" spans="1:10" ht="25.5" customHeight="1" thickBot="1">
      <c r="B29" s="49" t="s">
        <v>50</v>
      </c>
      <c r="C29" s="46"/>
      <c r="D29" s="46"/>
      <c r="E29" s="46"/>
      <c r="F29" s="39"/>
      <c r="G29" s="81">
        <f>H25/5</f>
        <v>1.2</v>
      </c>
      <c r="H29" s="82">
        <f>IF(ROUND(G29,0)=0,1,ROUND(G29,0))</f>
        <v>1</v>
      </c>
      <c r="I29" s="11"/>
    </row>
    <row r="30" spans="1:10" ht="25.5" customHeight="1">
      <c r="F30" s="9"/>
      <c r="G30" s="79"/>
      <c r="H30" s="78"/>
      <c r="I30" s="11"/>
    </row>
    <row r="31" spans="1:10" ht="25.5" customHeight="1" thickBot="1">
      <c r="A31" s="13" t="s">
        <v>51</v>
      </c>
      <c r="F31" s="9"/>
      <c r="G31" s="79"/>
      <c r="H31" s="79"/>
      <c r="I31" s="11"/>
    </row>
    <row r="32" spans="1:10" ht="25.5" customHeight="1" thickBot="1">
      <c r="B32" s="49"/>
      <c r="C32" s="50">
        <v>49010</v>
      </c>
      <c r="D32" s="46" t="s">
        <v>77</v>
      </c>
      <c r="E32" s="46"/>
      <c r="F32" s="46"/>
      <c r="G32" s="83"/>
      <c r="H32" s="84">
        <f>C32*H28</f>
        <v>98020</v>
      </c>
      <c r="I32" s="11"/>
    </row>
    <row r="33" spans="2:9" ht="25.5" customHeight="1" thickBot="1">
      <c r="B33" s="52"/>
      <c r="C33" s="53">
        <v>6130</v>
      </c>
      <c r="D33" s="54" t="s">
        <v>78</v>
      </c>
      <c r="E33" s="54"/>
      <c r="F33" s="54"/>
      <c r="G33" s="85"/>
      <c r="H33" s="86">
        <f>C33*H29</f>
        <v>6130</v>
      </c>
      <c r="I33" s="11"/>
    </row>
    <row r="34" spans="2:9" ht="25.5" customHeight="1" thickTop="1" thickBot="1">
      <c r="B34" s="56"/>
      <c r="C34" s="57" t="s">
        <v>79</v>
      </c>
      <c r="D34" s="57"/>
      <c r="E34" s="58"/>
      <c r="F34" s="59"/>
      <c r="G34" s="87"/>
      <c r="H34" s="88">
        <f>SUM(H32:H33)</f>
        <v>104150</v>
      </c>
    </row>
    <row r="35" spans="2:9" ht="33.75" customHeight="1"/>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16">
    <mergeCell ref="C15:D15"/>
    <mergeCell ref="C20:D20"/>
    <mergeCell ref="C22:D22"/>
    <mergeCell ref="C17:D17"/>
    <mergeCell ref="C16:D16"/>
    <mergeCell ref="C18:D18"/>
    <mergeCell ref="C19:D19"/>
    <mergeCell ref="B4:C4"/>
    <mergeCell ref="C13:D13"/>
    <mergeCell ref="C14:D14"/>
    <mergeCell ref="D4:H4"/>
    <mergeCell ref="B7:E7"/>
    <mergeCell ref="B8:E8"/>
    <mergeCell ref="G11:H11"/>
    <mergeCell ref="C11:D11"/>
    <mergeCell ref="C12:D12"/>
  </mergeCells>
  <phoneticPr fontId="1"/>
  <dataValidations count="1">
    <dataValidation type="list" allowBlank="1" showInputMessage="1" showErrorMessage="1" sqref="E17 E19:E22" xr:uid="{00000000-0002-0000-0400-000000000000}">
      <formula1>"　,あり,なし"</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100"/>
  <sheetViews>
    <sheetView zoomScaleNormal="100" workbookViewId="0">
      <selection activeCell="K12" sqref="K12"/>
    </sheetView>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7.09765625" style="10" customWidth="1"/>
    <col min="8" max="8" width="13.69921875" style="10" customWidth="1"/>
    <col min="9" max="9" width="9" style="10"/>
    <col min="10" max="16384" width="9" style="11"/>
  </cols>
  <sheetData>
    <row r="1" spans="1:10" s="8" customFormat="1" ht="25.5" customHeight="1">
      <c r="A1" s="5" t="s">
        <v>110</v>
      </c>
      <c r="B1" s="6"/>
      <c r="C1" s="6"/>
      <c r="D1" s="6"/>
      <c r="E1" s="6"/>
      <c r="F1" s="7"/>
      <c r="G1" s="7"/>
      <c r="H1" s="7"/>
      <c r="I1" s="7"/>
    </row>
    <row r="2" spans="1:10" ht="25.5" customHeight="1">
      <c r="A2" s="5" t="s">
        <v>124</v>
      </c>
    </row>
    <row r="3" spans="1:10" ht="25.5" customHeight="1" thickBot="1">
      <c r="A3" s="5"/>
    </row>
    <row r="4" spans="1:10" ht="25.5" customHeight="1" thickBot="1">
      <c r="A4" s="9"/>
      <c r="B4" s="378" t="s">
        <v>1</v>
      </c>
      <c r="C4" s="378"/>
      <c r="D4" s="336" t="s">
        <v>56</v>
      </c>
      <c r="E4" s="337"/>
      <c r="F4" s="337"/>
      <c r="G4" s="337"/>
      <c r="H4" s="338"/>
    </row>
    <row r="5" spans="1:10" ht="25.5" customHeight="1">
      <c r="A5" s="9"/>
      <c r="C5" s="12"/>
      <c r="D5" s="12"/>
      <c r="E5" s="12"/>
      <c r="F5" s="12"/>
      <c r="G5" s="12"/>
      <c r="H5" s="12"/>
    </row>
    <row r="6" spans="1:10" ht="25.5" customHeight="1" thickBot="1">
      <c r="A6" s="13" t="s">
        <v>85</v>
      </c>
    </row>
    <row r="7" spans="1:10" ht="28.5" customHeight="1">
      <c r="B7" s="344"/>
      <c r="C7" s="345"/>
      <c r="D7" s="424"/>
      <c r="E7" s="18" t="s">
        <v>13</v>
      </c>
      <c r="F7" s="19" t="s">
        <v>14</v>
      </c>
      <c r="G7" s="379" t="s">
        <v>15</v>
      </c>
      <c r="H7" s="405"/>
    </row>
    <row r="8" spans="1:10" ht="25.5" customHeight="1" thickBot="1">
      <c r="B8" s="20" t="s">
        <v>16</v>
      </c>
      <c r="C8" s="89" t="s">
        <v>65</v>
      </c>
      <c r="D8" s="89"/>
      <c r="E8" s="21"/>
      <c r="F8" s="22"/>
      <c r="G8" s="60"/>
      <c r="H8" s="61"/>
    </row>
    <row r="9" spans="1:10" ht="25.5" customHeight="1" thickBot="1">
      <c r="B9" s="23"/>
      <c r="C9" s="398" t="s">
        <v>125</v>
      </c>
      <c r="D9" s="399"/>
      <c r="E9" s="90"/>
      <c r="F9" s="1">
        <v>15</v>
      </c>
      <c r="G9" s="106">
        <f>IF(E10="あり",F9/5,F9/3)</f>
        <v>3</v>
      </c>
      <c r="H9" s="107">
        <f>IF(E11="なし",ROUND(G9,1),0)</f>
        <v>3</v>
      </c>
      <c r="J9" s="25"/>
    </row>
    <row r="10" spans="1:10" ht="25.5" customHeight="1">
      <c r="B10" s="23"/>
      <c r="C10" s="417" t="s">
        <v>126</v>
      </c>
      <c r="D10" s="418"/>
      <c r="E10" s="91" t="s">
        <v>19</v>
      </c>
      <c r="F10" s="28"/>
      <c r="G10" s="108"/>
      <c r="H10" s="109"/>
      <c r="J10" s="25"/>
    </row>
    <row r="11" spans="1:10" ht="25.5" customHeight="1" thickBot="1">
      <c r="B11" s="23"/>
      <c r="C11" s="422" t="s">
        <v>127</v>
      </c>
      <c r="D11" s="423"/>
      <c r="E11" s="92" t="s">
        <v>122</v>
      </c>
      <c r="F11" s="93"/>
      <c r="G11" s="110"/>
      <c r="H11" s="111"/>
      <c r="J11" s="25"/>
    </row>
    <row r="12" spans="1:10" ht="25.5" customHeight="1" thickBot="1">
      <c r="B12" s="23"/>
      <c r="C12" s="354" t="s">
        <v>128</v>
      </c>
      <c r="D12" s="355"/>
      <c r="E12" s="24"/>
      <c r="F12" s="1">
        <v>7</v>
      </c>
      <c r="G12" s="112">
        <f>IF(E11="あり",F12/5,0)</f>
        <v>0</v>
      </c>
      <c r="H12" s="113">
        <f>ROUNDDOWN(G12,1)</f>
        <v>0</v>
      </c>
      <c r="J12" s="25"/>
    </row>
    <row r="13" spans="1:10" ht="25.5" customHeight="1" thickBot="1">
      <c r="B13" s="23"/>
      <c r="C13" s="410" t="s">
        <v>129</v>
      </c>
      <c r="D13" s="411"/>
      <c r="E13" s="94"/>
      <c r="F13" s="1">
        <v>3</v>
      </c>
      <c r="G13" s="64">
        <f>IF(E11="あり",F13/2,0)</f>
        <v>0</v>
      </c>
      <c r="H13" s="65">
        <f>ROUNDDOWN(G13,1)</f>
        <v>0</v>
      </c>
      <c r="J13" s="25"/>
    </row>
    <row r="14" spans="1:10" ht="25.5" customHeight="1" thickTop="1">
      <c r="B14" s="26"/>
      <c r="C14" s="95" t="s">
        <v>69</v>
      </c>
      <c r="D14" s="95"/>
      <c r="E14" s="27"/>
      <c r="F14" s="28"/>
      <c r="G14" s="114"/>
      <c r="H14" s="67">
        <f>ROUND(SUM(H9:H13),0)</f>
        <v>3</v>
      </c>
      <c r="J14" s="25"/>
    </row>
    <row r="15" spans="1:10" ht="25.5" customHeight="1">
      <c r="B15" s="96" t="s">
        <v>21</v>
      </c>
      <c r="C15" s="427" t="s">
        <v>70</v>
      </c>
      <c r="D15" s="423"/>
      <c r="E15" s="97" t="s">
        <v>19</v>
      </c>
      <c r="F15" s="98"/>
      <c r="G15" s="115"/>
      <c r="H15" s="116">
        <f>IF(E15="あり",0.4,0)</f>
        <v>0.4</v>
      </c>
    </row>
    <row r="16" spans="1:10" ht="25.5" customHeight="1">
      <c r="B16" s="26" t="s">
        <v>23</v>
      </c>
      <c r="C16" s="15" t="s">
        <v>38</v>
      </c>
      <c r="D16" s="286"/>
      <c r="E16" s="92" t="s">
        <v>19</v>
      </c>
      <c r="F16" s="275"/>
      <c r="G16" s="119"/>
      <c r="H16" s="331">
        <f>IF(E16="あり",0.6,0)</f>
        <v>0.6</v>
      </c>
    </row>
    <row r="17" spans="1:9" ht="25.5" customHeight="1">
      <c r="B17" s="99" t="s">
        <v>25</v>
      </c>
      <c r="C17" s="425" t="s">
        <v>118</v>
      </c>
      <c r="D17" s="426"/>
      <c r="E17" s="91" t="s">
        <v>19</v>
      </c>
      <c r="F17" s="100"/>
      <c r="G17" s="108"/>
      <c r="H17" s="117">
        <f>IF(E17="あり",-1,0)</f>
        <v>-1</v>
      </c>
    </row>
    <row r="18" spans="1:9" ht="25.5" customHeight="1" thickBot="1">
      <c r="B18" s="419" t="s">
        <v>119</v>
      </c>
      <c r="C18" s="420"/>
      <c r="D18" s="420"/>
      <c r="E18" s="420"/>
      <c r="F18" s="421"/>
      <c r="G18" s="71"/>
      <c r="H18" s="118">
        <v>1.6</v>
      </c>
    </row>
    <row r="19" spans="1:9" ht="25.5" customHeight="1" thickTop="1" thickBot="1">
      <c r="B19" s="36" t="s">
        <v>45</v>
      </c>
      <c r="F19" s="37"/>
      <c r="G19" s="119"/>
      <c r="H19" s="74">
        <f>SUM(H14:H18)</f>
        <v>4.5999999999999996</v>
      </c>
    </row>
    <row r="20" spans="1:9" ht="25.5" customHeight="1" thickBot="1">
      <c r="B20" s="38" t="s">
        <v>46</v>
      </c>
      <c r="C20" s="39"/>
      <c r="D20" s="39"/>
      <c r="E20" s="39"/>
      <c r="F20" s="40"/>
      <c r="G20" s="120"/>
      <c r="H20" s="76">
        <f>ROUND(H19,0)</f>
        <v>5</v>
      </c>
    </row>
    <row r="21" spans="1:9" ht="25.5" customHeight="1">
      <c r="B21" s="41"/>
      <c r="G21" s="101"/>
      <c r="H21" s="43"/>
    </row>
    <row r="22" spans="1:9" ht="25.5" customHeight="1" thickBot="1">
      <c r="A22" s="13" t="s">
        <v>48</v>
      </c>
      <c r="F22" s="9"/>
      <c r="G22" s="102"/>
      <c r="H22" s="44"/>
      <c r="I22" s="42"/>
    </row>
    <row r="23" spans="1:9" ht="25.5" customHeight="1" thickBot="1">
      <c r="B23" s="45" t="s">
        <v>49</v>
      </c>
      <c r="C23" s="46"/>
      <c r="D23" s="46"/>
      <c r="E23" s="46"/>
      <c r="F23" s="39"/>
      <c r="G23" s="47">
        <f>H20/3</f>
        <v>1.6666666666666667</v>
      </c>
      <c r="H23" s="82">
        <f>IF(ROUND(G23,0)=0,1,ROUND(G23,0))</f>
        <v>2</v>
      </c>
      <c r="I23" s="11"/>
    </row>
    <row r="24" spans="1:9" ht="25.5" customHeight="1" thickBot="1">
      <c r="B24" s="49" t="s">
        <v>50</v>
      </c>
      <c r="C24" s="46"/>
      <c r="D24" s="46"/>
      <c r="E24" s="46"/>
      <c r="F24" s="39"/>
      <c r="G24" s="47">
        <f>H20/5</f>
        <v>1</v>
      </c>
      <c r="H24" s="82">
        <f>IF(ROUND(G24,0)=0,1,ROUND(G24,0))</f>
        <v>1</v>
      </c>
      <c r="I24" s="11"/>
    </row>
    <row r="25" spans="1:9" ht="25.5" customHeight="1">
      <c r="F25" s="9"/>
      <c r="H25" s="43"/>
      <c r="I25" s="11"/>
    </row>
    <row r="26" spans="1:9" ht="25.5" customHeight="1" thickBot="1">
      <c r="A26" s="13" t="s">
        <v>51</v>
      </c>
      <c r="F26" s="9"/>
      <c r="I26" s="11"/>
    </row>
    <row r="27" spans="1:9" ht="25.5" customHeight="1" thickBot="1">
      <c r="B27" s="49"/>
      <c r="C27" s="50">
        <v>49010</v>
      </c>
      <c r="D27" s="46" t="s">
        <v>77</v>
      </c>
      <c r="E27" s="46"/>
      <c r="F27" s="39"/>
      <c r="G27" s="103"/>
      <c r="H27" s="84">
        <f>C27*H23</f>
        <v>98020</v>
      </c>
      <c r="I27" s="11"/>
    </row>
    <row r="28" spans="1:9" ht="25.5" customHeight="1" thickBot="1">
      <c r="B28" s="52"/>
      <c r="C28" s="53">
        <v>6130</v>
      </c>
      <c r="D28" s="54" t="s">
        <v>78</v>
      </c>
      <c r="E28" s="54"/>
      <c r="F28" s="104"/>
      <c r="G28" s="105"/>
      <c r="H28" s="86">
        <f>C28*H24</f>
        <v>6130</v>
      </c>
      <c r="I28" s="11"/>
    </row>
    <row r="29" spans="1:9" ht="25.5" customHeight="1" thickTop="1" thickBot="1">
      <c r="B29" s="56"/>
      <c r="C29" s="57" t="s">
        <v>79</v>
      </c>
      <c r="D29" s="57"/>
      <c r="E29" s="58"/>
      <c r="F29" s="58"/>
      <c r="G29" s="59"/>
      <c r="H29" s="88">
        <f>SUM(H27:H28)</f>
        <v>104150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18:F18"/>
    <mergeCell ref="C11:D11"/>
    <mergeCell ref="B7:D7"/>
    <mergeCell ref="C12:D12"/>
    <mergeCell ref="C13:D13"/>
    <mergeCell ref="C17:D17"/>
    <mergeCell ref="C15:D15"/>
    <mergeCell ref="B4:C4"/>
    <mergeCell ref="D4:H4"/>
    <mergeCell ref="G7:H7"/>
    <mergeCell ref="C9:D9"/>
    <mergeCell ref="C10:D10"/>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処遇改善等加算Ⅱ　加算対象職員数計算表</dc:title>
  <dc:subject/>
  <dc:creator/>
  <cp:keywords/>
  <dc:description/>
  <cp:lastModifiedBy/>
  <cp:revision>1</cp:revision>
  <dcterms:created xsi:type="dcterms:W3CDTF">2024-04-15T00:11:46Z</dcterms:created>
  <dcterms:modified xsi:type="dcterms:W3CDTF">2024-04-15T00:12:15Z</dcterms:modified>
  <cp:category/>
  <cp:contentStatus/>
</cp:coreProperties>
</file>