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600" windowWidth="12450" windowHeight="6525" activeTab="3"/>
  </bookViews>
  <sheets>
    <sheet name="幼稚園" sheetId="9" r:id="rId1"/>
    <sheet name="保育所" sheetId="5" r:id="rId2"/>
    <sheet name="認定こども園" sheetId="6" r:id="rId3"/>
    <sheet name="小規模（事業所内）Ａ・Ｂ" sheetId="7" r:id="rId4"/>
    <sheet name="小規模Ｃ" sheetId="8" r:id="rId5"/>
    <sheet name="事業所内（定員20以上）" sheetId="10" r:id="rId6"/>
  </sheets>
  <definedNames>
    <definedName name="_xlnm.Print_Area" localSheetId="5">'事業所内（定員20以上）'!$A$1:$H$34</definedName>
    <definedName name="_xlnm.Print_Area" localSheetId="3">'小規模（事業所内）Ａ・Ｂ'!$A$1:$H$32</definedName>
    <definedName name="_xlnm.Print_Area" localSheetId="4">小規模Ｃ!$A$1:$H$29</definedName>
    <definedName name="_xlnm.Print_Area" localSheetId="2">認定こども園!$A$1:$L$56</definedName>
    <definedName name="_xlnm.Print_Area" localSheetId="1">保育所!$A$1:$L$43</definedName>
    <definedName name="_xlnm.Print_Area" localSheetId="0">幼稚園!$A$1:$H$44</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6" l="1"/>
  <c r="G39" i="9"/>
  <c r="G24" i="9"/>
  <c r="G9" i="8"/>
  <c r="G27" i="7"/>
  <c r="H26" i="7"/>
  <c r="G14" i="7"/>
  <c r="L30" i="6"/>
  <c r="H38" i="5"/>
  <c r="H37" i="5"/>
  <c r="G37" i="5"/>
  <c r="L32" i="5"/>
  <c r="H32" i="5"/>
  <c r="H25" i="5"/>
  <c r="H23" i="5"/>
  <c r="G21" i="5"/>
  <c r="G20" i="5"/>
  <c r="H20" i="5"/>
  <c r="G23" i="9"/>
  <c r="G22" i="9"/>
  <c r="G21" i="9"/>
  <c r="G19" i="9"/>
  <c r="G18" i="9"/>
  <c r="G17" i="9"/>
  <c r="G32" i="9"/>
  <c r="H21" i="10"/>
  <c r="H16" i="8"/>
  <c r="H19" i="7"/>
  <c r="H41" i="6"/>
  <c r="H31" i="5"/>
  <c r="I31" i="5"/>
  <c r="J21" i="5"/>
  <c r="F20" i="5"/>
  <c r="G30" i="9"/>
  <c r="G29" i="9"/>
  <c r="I33" i="6"/>
  <c r="H33" i="6"/>
  <c r="I25" i="6"/>
  <c r="I24" i="6"/>
  <c r="I22" i="5"/>
  <c r="F7" i="6"/>
  <c r="L29" i="6"/>
  <c r="K23" i="6"/>
  <c r="L23" i="6"/>
  <c r="J23" i="6"/>
  <c r="J22" i="6"/>
  <c r="G13" i="10"/>
  <c r="G14" i="10"/>
  <c r="H14" i="10"/>
  <c r="H13" i="10"/>
  <c r="G13" i="7"/>
  <c r="G12" i="7"/>
  <c r="G11" i="7"/>
  <c r="H11" i="7"/>
  <c r="G10" i="7"/>
  <c r="H10" i="7"/>
  <c r="J24" i="5"/>
  <c r="J23" i="5"/>
  <c r="J20" i="5"/>
  <c r="L31" i="6"/>
  <c r="J7" i="6"/>
  <c r="J10" i="6"/>
  <c r="K45" i="6"/>
  <c r="L45" i="6"/>
  <c r="I32" i="6"/>
  <c r="H31" i="6"/>
  <c r="G23" i="6"/>
  <c r="J27" i="6"/>
  <c r="J26" i="6"/>
  <c r="H30" i="6"/>
  <c r="K27" i="6"/>
  <c r="L27" i="6"/>
  <c r="K26" i="6"/>
  <c r="L26" i="6"/>
  <c r="K22" i="6"/>
  <c r="L22" i="6"/>
  <c r="G45" i="6"/>
  <c r="H45" i="6"/>
  <c r="L28" i="6"/>
  <c r="H29" i="6"/>
  <c r="I44" i="6"/>
  <c r="I43" i="6"/>
  <c r="I42" i="6"/>
  <c r="I40" i="6"/>
  <c r="I39" i="6"/>
  <c r="I38" i="6"/>
  <c r="I37" i="6"/>
  <c r="I36" i="6"/>
  <c r="I35" i="6"/>
  <c r="I34" i="6"/>
  <c r="L46" i="6"/>
  <c r="L47" i="6"/>
  <c r="J6" i="6"/>
  <c r="K24" i="5"/>
  <c r="L24" i="5"/>
  <c r="K23" i="5"/>
  <c r="L23" i="5"/>
  <c r="K21" i="5"/>
  <c r="K20" i="5"/>
  <c r="L20" i="5"/>
  <c r="I30" i="5"/>
  <c r="I29" i="5"/>
  <c r="I28" i="5"/>
  <c r="I27" i="5"/>
  <c r="L26" i="5"/>
  <c r="I17" i="5"/>
  <c r="J9" i="5"/>
  <c r="J7" i="5"/>
  <c r="L21" i="5"/>
  <c r="L25" i="5"/>
  <c r="L33" i="5"/>
  <c r="L34" i="5"/>
  <c r="G26" i="9"/>
  <c r="H23" i="10"/>
  <c r="H22" i="10"/>
  <c r="H19" i="10"/>
  <c r="F9" i="5"/>
  <c r="H44" i="6"/>
  <c r="H43" i="6"/>
  <c r="F23" i="6"/>
  <c r="H20" i="10"/>
  <c r="G16" i="10"/>
  <c r="H16" i="10"/>
  <c r="G17" i="10"/>
  <c r="H17" i="10"/>
  <c r="G15" i="10"/>
  <c r="H15" i="10"/>
  <c r="H18" i="10"/>
  <c r="H24" i="10"/>
  <c r="H25" i="10"/>
  <c r="G29" i="10"/>
  <c r="H29" i="10"/>
  <c r="H33" i="10"/>
  <c r="G28" i="10"/>
  <c r="H28" i="10"/>
  <c r="H32" i="10"/>
  <c r="H34" i="10"/>
  <c r="F27" i="6"/>
  <c r="F26" i="6"/>
  <c r="F22" i="6"/>
  <c r="F10" i="6"/>
  <c r="F21" i="5"/>
  <c r="F23" i="5"/>
  <c r="G23" i="5"/>
  <c r="F24" i="5"/>
  <c r="H21" i="5"/>
  <c r="F8" i="9"/>
  <c r="G31" i="9"/>
  <c r="G28" i="9"/>
  <c r="G27" i="9"/>
  <c r="G25" i="9"/>
  <c r="G33" i="9"/>
  <c r="G34" i="9"/>
  <c r="G38" i="9"/>
  <c r="G13" i="8"/>
  <c r="H13" i="8"/>
  <c r="G12" i="8"/>
  <c r="H12" i="8"/>
  <c r="H9" i="8"/>
  <c r="H17" i="8"/>
  <c r="H15" i="8"/>
  <c r="H14" i="7"/>
  <c r="H17" i="7"/>
  <c r="H20" i="7"/>
  <c r="H18" i="7"/>
  <c r="H13" i="7"/>
  <c r="H12" i="7"/>
  <c r="H42" i="6"/>
  <c r="H40" i="6"/>
  <c r="H39" i="6"/>
  <c r="H38" i="6"/>
  <c r="H35" i="6"/>
  <c r="H34" i="6"/>
  <c r="H32" i="6"/>
  <c r="H37" i="6"/>
  <c r="G27" i="6"/>
  <c r="H27" i="6"/>
  <c r="G26" i="6"/>
  <c r="H26" i="6"/>
  <c r="H23" i="6"/>
  <c r="G22" i="6"/>
  <c r="H22" i="6"/>
  <c r="H30" i="5"/>
  <c r="H29" i="5"/>
  <c r="H28" i="5"/>
  <c r="H27" i="5"/>
  <c r="H26" i="5"/>
  <c r="G24" i="5"/>
  <c r="H24" i="5"/>
  <c r="G43" i="9"/>
  <c r="G42" i="9"/>
  <c r="H33" i="5"/>
  <c r="H34" i="5"/>
  <c r="H16" i="7"/>
  <c r="H22" i="7"/>
  <c r="H14" i="8"/>
  <c r="H19" i="8"/>
  <c r="H28" i="6"/>
  <c r="H46" i="6"/>
  <c r="H23" i="7"/>
  <c r="G44" i="9"/>
  <c r="H20" i="8"/>
  <c r="G38" i="5"/>
  <c r="H42" i="5"/>
  <c r="H41" i="5"/>
  <c r="G24" i="8"/>
  <c r="H24" i="8"/>
  <c r="H28" i="8"/>
  <c r="G23" i="8"/>
  <c r="H23" i="8"/>
  <c r="H27" i="7"/>
  <c r="H31" i="7"/>
  <c r="G26" i="7"/>
  <c r="H30" i="7"/>
  <c r="H43" i="5"/>
  <c r="H32" i="7"/>
  <c r="H27" i="8"/>
  <c r="H29" i="8"/>
  <c r="H47" i="6"/>
  <c r="G50" i="6"/>
  <c r="H50" i="6"/>
  <c r="H54" i="6"/>
  <c r="G51" i="6"/>
  <c r="H51" i="6"/>
  <c r="H55" i="6"/>
  <c r="H56" i="6"/>
</calcChain>
</file>

<file path=xl/comments1.xml><?xml version="1.0" encoding="utf-8"?>
<comments xmlns="http://schemas.openxmlformats.org/spreadsheetml/2006/main">
  <authors>
    <author>作成者</author>
  </authors>
  <commentList>
    <comment ref="F22" authorId="0" shapeId="0">
      <text>
        <r>
          <rPr>
            <sz val="12"/>
            <color indexed="81"/>
            <rFont val="MS P ゴシック"/>
            <family val="3"/>
            <charset val="128"/>
          </rPr>
          <t>加算算定上の「加配人数」を入力</t>
        </r>
      </text>
    </comment>
    <comment ref="C29" authorId="0" shapeId="0">
      <text>
        <r>
          <rPr>
            <sz val="11"/>
            <color indexed="81"/>
            <rFont val="MS P ゴシック"/>
            <family val="3"/>
            <charset val="128"/>
          </rPr>
          <t>A:配置を受けていること</t>
        </r>
      </text>
    </comment>
    <comment ref="F31" authorId="0" shapeId="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authors>
    <author>作成者</author>
  </authors>
  <commentList>
    <comment ref="C31" authorId="0" shapeId="0">
      <text>
        <r>
          <rPr>
            <sz val="12"/>
            <color indexed="81"/>
            <rFont val="MS P ゴシック"/>
            <family val="3"/>
            <charset val="128"/>
          </rPr>
          <t>A：配置であること</t>
        </r>
      </text>
    </comment>
  </commentList>
</comments>
</file>

<file path=xl/comments3.xml><?xml version="1.0" encoding="utf-8"?>
<comments xmlns="http://schemas.openxmlformats.org/spreadsheetml/2006/main">
  <authors>
    <author>作成者</author>
  </authors>
  <commentList>
    <comment ref="F34" authorId="0" shapeId="0">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41" authorId="0" shapeId="0">
      <text>
        <r>
          <rPr>
            <sz val="12"/>
            <color indexed="81"/>
            <rFont val="MS P ゴシック"/>
            <family val="3"/>
            <charset val="128"/>
          </rPr>
          <t>A[配置」であること</t>
        </r>
      </text>
    </comment>
    <comment ref="F43" authorId="0" shapeId="0">
      <text>
        <r>
          <rPr>
            <sz val="12"/>
            <color indexed="81"/>
            <rFont val="MS P ゴシック"/>
            <family val="3"/>
            <charset val="128"/>
          </rPr>
          <t>「必要代替保育教諭等数－配置代替保育教諭等数」
の値を入力</t>
        </r>
      </text>
    </comment>
    <comment ref="F44" authorId="0" shapeId="0">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authors>
    <author>作成者</author>
  </authors>
  <commentList>
    <comment ref="C19" authorId="0" shapeId="0">
      <text>
        <r>
          <rPr>
            <sz val="12"/>
            <color indexed="81"/>
            <rFont val="MS P ゴシック"/>
            <family val="3"/>
            <charset val="128"/>
          </rPr>
          <t>A「配置」であること</t>
        </r>
      </text>
    </comment>
  </commentList>
</comments>
</file>

<file path=xl/comments5.xml><?xml version="1.0" encoding="utf-8"?>
<comments xmlns="http://schemas.openxmlformats.org/spreadsheetml/2006/main">
  <authors>
    <author>作成者</author>
  </authors>
  <commentList>
    <comment ref="C16" authorId="0" shapeId="0">
      <text>
        <r>
          <rPr>
            <sz val="12"/>
            <color indexed="81"/>
            <rFont val="MS P ゴシック"/>
            <family val="3"/>
            <charset val="128"/>
          </rPr>
          <t>A「配置」であること</t>
        </r>
      </text>
    </comment>
  </commentList>
</comments>
</file>

<file path=xl/comments6.xml><?xml version="1.0" encoding="utf-8"?>
<comments xmlns="http://schemas.openxmlformats.org/spreadsheetml/2006/main">
  <authors>
    <author>作成者</author>
  </authors>
  <commentList>
    <comment ref="C21" authorId="0" shapeId="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<sst xmlns="http://schemas.openxmlformats.org/spreadsheetml/2006/main" count="347" uniqueCount="140">
  <si>
    <t>在籍園児数</t>
    <rPh sb="0" eb="2">
      <t>ザイセキ</t>
    </rPh>
    <rPh sb="2" eb="4">
      <t>エンジ</t>
    </rPh>
    <rPh sb="4" eb="5">
      <t>スウ</t>
    </rPh>
    <phoneticPr fontId="1"/>
  </si>
  <si>
    <t>チーム保育加配加算</t>
    <rPh sb="3" eb="5">
      <t>ホイク</t>
    </rPh>
    <rPh sb="5" eb="7">
      <t>カハイ</t>
    </rPh>
    <rPh sb="7" eb="9">
      <t>カサン</t>
    </rPh>
    <phoneticPr fontId="1"/>
  </si>
  <si>
    <t>通園送迎加算</t>
    <rPh sb="0" eb="2">
      <t>ツウエン</t>
    </rPh>
    <rPh sb="2" eb="4">
      <t>ソウゲイ</t>
    </rPh>
    <rPh sb="4" eb="6">
      <t>カサン</t>
    </rPh>
    <phoneticPr fontId="1"/>
  </si>
  <si>
    <t>主幹教諭等専任加算</t>
    <rPh sb="0" eb="2">
      <t>シュカン</t>
    </rPh>
    <rPh sb="2" eb="4">
      <t>キョウユ</t>
    </rPh>
    <rPh sb="4" eb="5">
      <t>トウ</t>
    </rPh>
    <rPh sb="5" eb="7">
      <t>センニン</t>
    </rPh>
    <rPh sb="7" eb="9">
      <t>カサン</t>
    </rPh>
    <phoneticPr fontId="1"/>
  </si>
  <si>
    <t>指導充実加配加算</t>
    <rPh sb="0" eb="2">
      <t>シドウ</t>
    </rPh>
    <rPh sb="2" eb="4">
      <t>ジュウジツ</t>
    </rPh>
    <rPh sb="4" eb="6">
      <t>カハイ</t>
    </rPh>
    <rPh sb="6" eb="8">
      <t>カサン</t>
    </rPh>
    <phoneticPr fontId="1"/>
  </si>
  <si>
    <t>年齢別配置基準</t>
    <rPh sb="0" eb="2">
      <t>ネンレイ</t>
    </rPh>
    <rPh sb="2" eb="3">
      <t>ベツ</t>
    </rPh>
    <rPh sb="3" eb="5">
      <t>ハイチ</t>
    </rPh>
    <rPh sb="5" eb="7">
      <t>キジュン</t>
    </rPh>
    <phoneticPr fontId="1"/>
  </si>
  <si>
    <t>あり</t>
  </si>
  <si>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</si>
  <si>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</si>
  <si>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</si>
  <si>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</si>
  <si>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</si>
  <si>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</si>
  <si>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</si>
  <si>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主任保育士専任加算</t>
    <rPh sb="0" eb="2">
      <t>シュニン</t>
    </rPh>
    <rPh sb="2" eb="5">
      <t>ホイクシ</t>
    </rPh>
    <rPh sb="5" eb="7">
      <t>センニン</t>
    </rPh>
    <rPh sb="7" eb="9">
      <t>カサン</t>
    </rPh>
    <phoneticPr fontId="1"/>
  </si>
  <si>
    <t>保育標準時間認定の児童</t>
    <rPh sb="0" eb="2">
      <t>ホイク</t>
    </rPh>
    <rPh sb="2" eb="4">
      <t>ヒョウジュン</t>
    </rPh>
    <rPh sb="4" eb="6">
      <t>ジカン</t>
    </rPh>
    <rPh sb="6" eb="8">
      <t>ニンテイ</t>
    </rPh>
    <rPh sb="9" eb="11">
      <t>ジドウ</t>
    </rPh>
    <phoneticPr fontId="1"/>
  </si>
  <si>
    <t>ｂ</t>
    <phoneticPr fontId="1"/>
  </si>
  <si>
    <t>ｃ</t>
    <phoneticPr fontId="1"/>
  </si>
  <si>
    <t>ｄ</t>
    <phoneticPr fontId="1"/>
  </si>
  <si>
    <t>ｅ</t>
    <phoneticPr fontId="1"/>
  </si>
  <si>
    <t>ｆ</t>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</si>
  <si>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</si>
  <si>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</si>
  <si>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</si>
  <si>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入力
項目</t>
    <rPh sb="0" eb="2">
      <t>ニュウリョク</t>
    </rPh>
    <rPh sb="3" eb="5">
      <t>コウモク</t>
    </rPh>
    <phoneticPr fontId="1"/>
  </si>
  <si>
    <t>選択
項目</t>
    <rPh sb="0" eb="2">
      <t>センタク</t>
    </rPh>
    <rPh sb="3" eb="5">
      <t>コウモク</t>
    </rPh>
    <phoneticPr fontId="1"/>
  </si>
  <si>
    <t>施設・事業所名</t>
    <rPh sb="0" eb="2">
      <t>シセツ</t>
    </rPh>
    <rPh sb="3" eb="6">
      <t>ジギョウショ</t>
    </rPh>
    <rPh sb="6" eb="7">
      <t>メイ</t>
    </rPh>
    <phoneticPr fontId="1"/>
  </si>
  <si>
    <t>○○○保育所</t>
    <rPh sb="3" eb="6">
      <t>ホイクショ</t>
    </rPh>
    <phoneticPr fontId="1"/>
  </si>
  <si>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</si>
  <si>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</si>
  <si>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</si>
  <si>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職員数（1人未満端数　四捨五入）</t>
    <rPh sb="0" eb="3">
      <t>ショクインスウ</t>
    </rPh>
    <rPh sb="5" eb="6">
      <t>ニン</t>
    </rPh>
    <rPh sb="6" eb="8">
      <t>ミマン</t>
    </rPh>
    <rPh sb="8" eb="10">
      <t>ハスウ</t>
    </rPh>
    <rPh sb="11" eb="15">
      <t>シシャゴニュウ</t>
    </rPh>
    <phoneticPr fontId="1"/>
  </si>
  <si>
    <t>１．加算対象人数の基礎となる職員数</t>
    <rPh sb="2" eb="4">
      <t>カサン</t>
    </rPh>
    <rPh sb="4" eb="6">
      <t>タイショウ</t>
    </rPh>
    <rPh sb="6" eb="8">
      <t>ニンズウ</t>
    </rPh>
    <rPh sb="9" eb="11">
      <t>キソ</t>
    </rPh>
    <rPh sb="14" eb="17">
      <t>ショクインスウ</t>
    </rPh>
    <phoneticPr fontId="1"/>
  </si>
  <si>
    <t>人数A（職員数の１／３）</t>
    <phoneticPr fontId="1"/>
  </si>
  <si>
    <t>人数B（職員数の１／５）</t>
    <rPh sb="0" eb="2">
      <t>ニンズウ</t>
    </rPh>
    <rPh sb="4" eb="6">
      <t>ショクイン</t>
    </rPh>
    <rPh sb="6" eb="7">
      <t>スウ</t>
    </rPh>
    <phoneticPr fontId="1"/>
  </si>
  <si>
    <t>処遇改善等加算Ⅱ　加算対象職員数計算表（認定こども園）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2">
      <t>ニン</t>
    </rPh>
    <phoneticPr fontId="1"/>
  </si>
  <si>
    <t>○○○認定こども園</t>
    <rPh sb="3" eb="5">
      <t>ニン</t>
    </rPh>
    <phoneticPr fontId="1"/>
  </si>
  <si>
    <t>d</t>
    <phoneticPr fontId="1"/>
  </si>
  <si>
    <t>事務職員配置加算</t>
    <rPh sb="0" eb="2">
      <t>ジム</t>
    </rPh>
    <rPh sb="2" eb="4">
      <t>ショクイン</t>
    </rPh>
    <rPh sb="4" eb="6">
      <t>ハイチ</t>
    </rPh>
    <rPh sb="6" eb="8">
      <t>カサン</t>
    </rPh>
    <phoneticPr fontId="1"/>
  </si>
  <si>
    <t>調理員</t>
    <rPh sb="0" eb="3">
      <t>チョウリイン</t>
    </rPh>
    <phoneticPr fontId="1"/>
  </si>
  <si>
    <t>学級編制調整加配加算</t>
    <rPh sb="0" eb="2">
      <t>ガッキュウ</t>
    </rPh>
    <rPh sb="2" eb="4">
      <t>ヘンセイ</t>
    </rPh>
    <rPh sb="4" eb="6">
      <t>チョウセイ</t>
    </rPh>
    <rPh sb="6" eb="8">
      <t>カハイ</t>
    </rPh>
    <rPh sb="8" eb="10">
      <t>カサン</t>
    </rPh>
    <phoneticPr fontId="1"/>
  </si>
  <si>
    <t>事務負担対応加配加算</t>
    <rPh sb="0" eb="2">
      <t>ジム</t>
    </rPh>
    <rPh sb="2" eb="4">
      <t>フタン</t>
    </rPh>
    <rPh sb="4" eb="6">
      <t>タイオウ</t>
    </rPh>
    <rPh sb="6" eb="8">
      <t>カハイ</t>
    </rPh>
    <rPh sb="8" eb="10">
      <t>カサン</t>
    </rPh>
    <phoneticPr fontId="1"/>
  </si>
  <si>
    <t>副園長・教頭加配加算</t>
    <rPh sb="0" eb="3">
      <t>フクエンチョウ</t>
    </rPh>
    <rPh sb="4" eb="6">
      <t>キョウトウ</t>
    </rPh>
    <rPh sb="6" eb="8">
      <t>カハイ</t>
    </rPh>
    <rPh sb="8" eb="10">
      <t>カサン</t>
    </rPh>
    <phoneticPr fontId="1"/>
  </si>
  <si>
    <t>１号</t>
    <rPh sb="1" eb="2">
      <t>ゴウ</t>
    </rPh>
    <phoneticPr fontId="1"/>
  </si>
  <si>
    <t>２・３号</t>
    <rPh sb="3" eb="4">
      <t>ゴウ</t>
    </rPh>
    <phoneticPr fontId="1"/>
  </si>
  <si>
    <t>処遇改善等加算Ⅱ　加算対象職員数計算表</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phoneticPr fontId="1"/>
  </si>
  <si>
    <t>（小規模保育所A型、Ｂ型）</t>
  </si>
  <si>
    <t>調整</t>
    <rPh sb="0" eb="2">
      <t>チョウセイ</t>
    </rPh>
    <phoneticPr fontId="1"/>
  </si>
  <si>
    <t>加算</t>
    <rPh sb="0" eb="2">
      <t>カサン</t>
    </rPh>
    <phoneticPr fontId="1"/>
  </si>
  <si>
    <t>障害児（障害児保育加算ありの場合）</t>
    <rPh sb="0" eb="3">
      <t>ショウガイジ</t>
    </rPh>
    <rPh sb="4" eb="7">
      <t>ショウガイジ</t>
    </rPh>
    <rPh sb="7" eb="9">
      <t>ホイク</t>
    </rPh>
    <rPh sb="9" eb="11">
      <t>カサン</t>
    </rPh>
    <rPh sb="14" eb="16">
      <t>バアイ</t>
    </rPh>
    <phoneticPr fontId="1"/>
  </si>
  <si>
    <t>（小規模保育所Ｃ型）</t>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</si>
  <si>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</si>
  <si>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</si>
  <si>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障害児保育加算</t>
    <rPh sb="0" eb="3">
      <t>ショウガイジ</t>
    </rPh>
    <rPh sb="3" eb="5">
      <t>ホイク</t>
    </rPh>
    <rPh sb="5" eb="7">
      <t>カサン</t>
    </rPh>
    <phoneticPr fontId="1"/>
  </si>
  <si>
    <t>処遇改善等加算Ⅱ　加算対象職員数計算表（幼稚園）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ヨウチエン</t>
    </rPh>
    <phoneticPr fontId="1"/>
  </si>
  <si>
    <t>○○○幼稚園</t>
    <rPh sb="3" eb="6">
      <t>ヨウチエン</t>
    </rPh>
    <phoneticPr fontId="1"/>
  </si>
  <si>
    <t>副園長・教頭配置加算</t>
    <rPh sb="0" eb="3">
      <t>フクエンチョウ</t>
    </rPh>
    <rPh sb="4" eb="6">
      <t>キョウトウ</t>
    </rPh>
    <rPh sb="6" eb="8">
      <t>ハイチ</t>
    </rPh>
    <rPh sb="8" eb="10">
      <t>カサン</t>
    </rPh>
    <phoneticPr fontId="1"/>
  </si>
  <si>
    <t>ｇ</t>
    <phoneticPr fontId="1"/>
  </si>
  <si>
    <t>ｈ</t>
    <phoneticPr fontId="1"/>
  </si>
  <si>
    <t>満たさない</t>
  </si>
  <si>
    <t>２．加算対象職員数（人）</t>
    <rPh sb="2" eb="4">
      <t>カサン</t>
    </rPh>
    <rPh sb="4" eb="6">
      <t>タイショウ</t>
    </rPh>
    <rPh sb="6" eb="8">
      <t>ショクイン</t>
    </rPh>
    <rPh sb="8" eb="9">
      <t>スウ</t>
    </rPh>
    <rPh sb="10" eb="11">
      <t>ニン</t>
    </rPh>
    <phoneticPr fontId="1"/>
  </si>
  <si>
    <t>１．加算対象人数の基礎となる職員数（人）</t>
    <rPh sb="2" eb="4">
      <t>カサン</t>
    </rPh>
    <rPh sb="4" eb="6">
      <t>タイショウ</t>
    </rPh>
    <rPh sb="6" eb="8">
      <t>ニンズウ</t>
    </rPh>
    <rPh sb="9" eb="11">
      <t>キソ</t>
    </rPh>
    <rPh sb="14" eb="17">
      <t>ショクインスウ</t>
    </rPh>
    <rPh sb="18" eb="19">
      <t>ニン</t>
    </rPh>
    <phoneticPr fontId="1"/>
  </si>
  <si>
    <t>（参考）加算見込額（円）</t>
    <rPh sb="1" eb="3">
      <t>サンコウ</t>
    </rPh>
    <rPh sb="4" eb="6">
      <t>カサン</t>
    </rPh>
    <rPh sb="6" eb="8">
      <t>ミコ</t>
    </rPh>
    <rPh sb="8" eb="9">
      <t>ガク</t>
    </rPh>
    <rPh sb="10" eb="11">
      <t>エン</t>
    </rPh>
    <phoneticPr fontId="1"/>
  </si>
  <si>
    <t>年齢別配置基準による職員数（小数点第一位四捨五入）</t>
    <rPh sb="0" eb="3">
      <t>ネンレイベツ</t>
    </rPh>
    <rPh sb="3" eb="7">
      <t>ハイキ</t>
    </rPh>
    <rPh sb="10" eb="13">
      <t>ショクインスウ</t>
    </rPh>
    <phoneticPr fontId="1"/>
  </si>
  <si>
    <t>0．基礎情報</t>
    <rPh sb="2" eb="4">
      <t>キソ</t>
    </rPh>
    <rPh sb="4" eb="6">
      <t>ジョウホウ</t>
    </rPh>
    <phoneticPr fontId="1"/>
  </si>
  <si>
    <t>利用定員数</t>
    <rPh sb="0" eb="2">
      <t>リヨウ</t>
    </rPh>
    <rPh sb="2" eb="4">
      <t>テイイン</t>
    </rPh>
    <rPh sb="4" eb="5">
      <t>スウ</t>
    </rPh>
    <phoneticPr fontId="1"/>
  </si>
  <si>
    <t>４歳児以上児</t>
    <rPh sb="1" eb="3">
      <t>サイジ</t>
    </rPh>
    <rPh sb="3" eb="5">
      <t>イジョウ</t>
    </rPh>
    <rPh sb="5" eb="6">
      <t>ジ</t>
    </rPh>
    <phoneticPr fontId="1"/>
  </si>
  <si>
    <t>うち満３歳児</t>
    <rPh sb="2" eb="3">
      <t>マン</t>
    </rPh>
    <rPh sb="4" eb="5">
      <t>サイ</t>
    </rPh>
    <rPh sb="5" eb="6">
      <t>ジ</t>
    </rPh>
    <phoneticPr fontId="1"/>
  </si>
  <si>
    <t>入力項目</t>
    <rPh sb="0" eb="2">
      <t>ニュウリョク</t>
    </rPh>
    <rPh sb="2" eb="4">
      <t>コウモク</t>
    </rPh>
    <phoneticPr fontId="1"/>
  </si>
  <si>
    <t>満３歳児配置改善加算</t>
    <rPh sb="0" eb="1">
      <t>マン</t>
    </rPh>
    <rPh sb="2" eb="3">
      <t>サイ</t>
    </rPh>
    <rPh sb="3" eb="4">
      <t>ジ</t>
    </rPh>
    <rPh sb="4" eb="6">
      <t>ハイチ</t>
    </rPh>
    <rPh sb="6" eb="8">
      <t>カイゼン</t>
    </rPh>
    <rPh sb="8" eb="10">
      <t>カサン</t>
    </rPh>
    <phoneticPr fontId="1"/>
  </si>
  <si>
    <t>３歳児配置改善加算</t>
    <phoneticPr fontId="1"/>
  </si>
  <si>
    <t>（4歳以上児）</t>
    <rPh sb="2" eb="5">
      <t>サイイジョウ</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</si>
  <si>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</si>
  <si>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３歳児</t>
    <rPh sb="1" eb="2">
      <t>サイ</t>
    </rPh>
    <rPh sb="2" eb="3">
      <t>ジ</t>
    </rPh>
    <phoneticPr fontId="1"/>
  </si>
  <si>
    <t>利用定員数に基づく職員数</t>
    <rPh sb="0" eb="2">
      <t>リヨウ</t>
    </rPh>
    <rPh sb="2" eb="4">
      <t>テイイン</t>
    </rPh>
    <rPh sb="4" eb="5">
      <t>スウ</t>
    </rPh>
    <rPh sb="6" eb="7">
      <t>モト</t>
    </rPh>
    <rPh sb="9" eb="12">
      <t>ショクインスウ</t>
    </rPh>
    <phoneticPr fontId="1"/>
  </si>
  <si>
    <t>年齢別児童数</t>
    <rPh sb="0" eb="3">
      <t>ネンレイベツ</t>
    </rPh>
    <rPh sb="3" eb="6">
      <t>ジドウスウ</t>
    </rPh>
    <phoneticPr fontId="1"/>
  </si>
  <si>
    <t>円　×　人数A</t>
    <rPh sb="0" eb="1">
      <t>エン</t>
    </rPh>
    <rPh sb="4" eb="6">
      <t>ニンズウ</t>
    </rPh>
    <phoneticPr fontId="1"/>
  </si>
  <si>
    <t>円　×　人数B</t>
    <rPh sb="0" eb="1">
      <t>エン</t>
    </rPh>
    <rPh sb="4" eb="6">
      <t>ニンズウ</t>
    </rPh>
    <phoneticPr fontId="1"/>
  </si>
  <si>
    <t>　うち満３歳児</t>
    <rPh sb="3" eb="4">
      <t>マン</t>
    </rPh>
    <rPh sb="5" eb="7">
      <t>サイジ</t>
    </rPh>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</si>
  <si>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</si>
  <si>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</si>
  <si>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</si>
  <si>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（事業所内保育所　定員6人以上　小規模A型、Ｂ型適用）</t>
    <rPh sb="1" eb="4">
      <t>ジギョウショ</t>
    </rPh>
    <rPh sb="4" eb="5">
      <t>ナイ</t>
    </rPh>
    <rPh sb="9" eb="11">
      <t>テイイン</t>
    </rPh>
    <rPh sb="12" eb="15">
      <t>ニンイジョウ</t>
    </rPh>
    <rPh sb="16" eb="19">
      <t>ショウキボ</t>
    </rPh>
    <rPh sb="24" eb="26">
      <t>テキヨウ</t>
    </rPh>
    <phoneticPr fontId="1"/>
  </si>
  <si>
    <t>　家庭的補助者配置</t>
    <rPh sb="1" eb="4">
      <t>カテイテキ</t>
    </rPh>
    <rPh sb="4" eb="7">
      <t>ホジョシャ</t>
    </rPh>
    <rPh sb="7" eb="9">
      <t>ハイチ</t>
    </rPh>
    <phoneticPr fontId="1"/>
  </si>
  <si>
    <t>（事業所内保育所　定員２０人以上）</t>
    <rPh sb="1" eb="4">
      <t>ジギョウショ</t>
    </rPh>
    <rPh sb="4" eb="5">
      <t>ナイ</t>
    </rPh>
    <rPh sb="9" eb="11">
      <t>テイイン</t>
    </rPh>
    <rPh sb="13" eb="16">
      <t>ニンイジョウ</t>
    </rPh>
    <phoneticPr fontId="1"/>
  </si>
  <si>
    <t>合　計</t>
    <rPh sb="0" eb="1">
      <t>ア</t>
    </rPh>
    <rPh sb="2" eb="3">
      <t>ケイ</t>
    </rPh>
    <phoneticPr fontId="1"/>
  </si>
  <si>
    <t>3歳児（満３歳児含む）</t>
    <rPh sb="1" eb="3">
      <t>サイジ</t>
    </rPh>
    <rPh sb="4" eb="5">
      <t>マン</t>
    </rPh>
    <rPh sb="6" eb="8">
      <t>サイジ</t>
    </rPh>
    <rPh sb="8" eb="9">
      <t>フク</t>
    </rPh>
    <phoneticPr fontId="1"/>
  </si>
  <si>
    <t>年齢別配置基準を下回る場合</t>
    <rPh sb="0" eb="3">
      <t>ネンレイベツ</t>
    </rPh>
    <rPh sb="3" eb="7">
      <t>ハイキ</t>
    </rPh>
    <rPh sb="8" eb="10">
      <t>シタマワ</t>
    </rPh>
    <rPh sb="11" eb="13">
      <t>バアイ</t>
    </rPh>
    <phoneticPr fontId="1"/>
  </si>
  <si>
    <t xml:space="preserve">  3歳児配置改善加算</t>
    <rPh sb="3" eb="5">
      <t>サイジ</t>
    </rPh>
    <rPh sb="5" eb="7">
      <t>ハイチ</t>
    </rPh>
    <rPh sb="7" eb="9">
      <t>カイゼン</t>
    </rPh>
    <rPh sb="9" eb="11">
      <t>カサン</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</si>
  <si>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</si>
  <si>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</si>
  <si>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</si>
  <si>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t>
    <phoneticPr fontId="1"/>
  </si>
  <si>
    <t>該当</t>
  </si>
  <si>
    <r>
      <t xml:space="preserve">０歳児
</t>
    </r>
    <r>
      <rPr>
        <sz val="10"/>
        <color theme="1"/>
        <rFont val="HG丸ｺﾞｼｯｸM-PRO"/>
        <family val="3"/>
        <charset val="128"/>
      </rPr>
      <t>※障害児保育加算ありの場合障害児を除いた数</t>
    </r>
    <rPh sb="1" eb="3">
      <t>サイジ</t>
    </rPh>
    <phoneticPr fontId="1"/>
  </si>
  <si>
    <t>3歳児</t>
    <rPh sb="1" eb="3">
      <t>サイジ</t>
    </rPh>
    <phoneticPr fontId="1"/>
  </si>
  <si>
    <t>i</t>
    <phoneticPr fontId="1"/>
  </si>
  <si>
    <t>分園の有無</t>
    <rPh sb="0" eb="2">
      <t>ブンエン</t>
    </rPh>
    <rPh sb="3" eb="5">
      <t>ウム</t>
    </rPh>
    <phoneticPr fontId="1"/>
  </si>
  <si>
    <t>選択項目</t>
    <rPh sb="0" eb="2">
      <t>センタク</t>
    </rPh>
    <rPh sb="2" eb="4">
      <t>コウモク</t>
    </rPh>
    <phoneticPr fontId="1"/>
  </si>
  <si>
    <t>本園分</t>
    <rPh sb="0" eb="1">
      <t>ホン</t>
    </rPh>
    <rPh sb="1" eb="2">
      <t>エン</t>
    </rPh>
    <rPh sb="2" eb="3">
      <t>ブン</t>
    </rPh>
    <phoneticPr fontId="1"/>
  </si>
  <si>
    <t>本園分を
記入</t>
    <rPh sb="0" eb="1">
      <t>ホン</t>
    </rPh>
    <rPh sb="1" eb="2">
      <t>エン</t>
    </rPh>
    <rPh sb="2" eb="3">
      <t>ブン</t>
    </rPh>
    <rPh sb="5" eb="7">
      <t>キニュウ</t>
    </rPh>
    <phoneticPr fontId="1"/>
  </si>
  <si>
    <t>選択
項目</t>
    <rPh sb="0" eb="2">
      <t>センタク</t>
    </rPh>
    <rPh sb="3" eb="5">
      <t>コウモク</t>
    </rPh>
    <phoneticPr fontId="1"/>
  </si>
  <si>
    <t>分園分</t>
    <rPh sb="0" eb="2">
      <t>ブンエン</t>
    </rPh>
    <rPh sb="2" eb="3">
      <t>ブン</t>
    </rPh>
    <phoneticPr fontId="1"/>
  </si>
  <si>
    <r>
      <t xml:space="preserve">各月平均の年齢別児童数を使用する場合は、別途配布している「年齢別児童数計算表」により計算した児童数を入力すること。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</si>
  <si>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6"/>
  </si>
  <si>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6"/>
  </si>
  <si>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6"/>
  </si>
  <si>
    <r>
      <t xml:space="preserve"> 児童数</t>
    </r>
    <r>
      <rPr>
        <sz val="11"/>
        <color rgb="FFFF0000"/>
        <rFont val="HG丸ｺﾞｼｯｸM-PRO"/>
        <family val="3"/>
        <charset val="128"/>
      </rPr>
      <t>（特例給付対象児童含む）</t>
    </r>
    <rPh sb="1" eb="4">
      <t>ジドウスウ</t>
    </rPh>
    <phoneticPr fontId="1"/>
  </si>
  <si>
    <t>k</t>
  </si>
  <si>
    <t>k</t>
    <phoneticPr fontId="1"/>
  </si>
  <si>
    <t>講師配置加算</t>
    <rPh sb="0" eb="2">
      <t>コウシ</t>
    </rPh>
    <rPh sb="2" eb="4">
      <t>ハイチ</t>
    </rPh>
    <rPh sb="4" eb="6">
      <t>カサン</t>
    </rPh>
    <phoneticPr fontId="1"/>
  </si>
  <si>
    <t>g</t>
    <phoneticPr fontId="1"/>
  </si>
  <si>
    <t>h</t>
    <phoneticPr fontId="1"/>
  </si>
  <si>
    <t>i</t>
    <phoneticPr fontId="1"/>
  </si>
  <si>
    <t>b</t>
    <phoneticPr fontId="1"/>
  </si>
  <si>
    <t>d</t>
    <phoneticPr fontId="1"/>
  </si>
  <si>
    <t>e</t>
    <phoneticPr fontId="1"/>
  </si>
  <si>
    <t>f</t>
    <phoneticPr fontId="1"/>
  </si>
  <si>
    <t>ｃ</t>
    <phoneticPr fontId="1"/>
  </si>
  <si>
    <t>j</t>
  </si>
  <si>
    <t>l</t>
  </si>
  <si>
    <t>m</t>
  </si>
  <si>
    <t>ｌ</t>
    <phoneticPr fontId="1"/>
  </si>
  <si>
    <t>ｊ</t>
    <phoneticPr fontId="1"/>
  </si>
  <si>
    <t>栄養管理加算</t>
    <rPh sb="0" eb="2">
      <t>エイヨウ</t>
    </rPh>
    <rPh sb="2" eb="4">
      <t>カンリ</t>
    </rPh>
    <rPh sb="4" eb="6">
      <t>カサン</t>
    </rPh>
    <phoneticPr fontId="1"/>
  </si>
  <si>
    <t>g</t>
    <phoneticPr fontId="1"/>
  </si>
  <si>
    <t>o</t>
    <phoneticPr fontId="1"/>
  </si>
  <si>
    <t>p</t>
    <phoneticPr fontId="1"/>
  </si>
  <si>
    <t>q</t>
    <phoneticPr fontId="1"/>
  </si>
  <si>
    <t>n</t>
    <phoneticPr fontId="1"/>
  </si>
  <si>
    <t>ｄ</t>
    <phoneticPr fontId="1"/>
  </si>
  <si>
    <t>d</t>
    <phoneticPr fontId="1"/>
  </si>
  <si>
    <t>合計</t>
    <phoneticPr fontId="1"/>
  </si>
  <si>
    <t>×人数A</t>
    <phoneticPr fontId="1"/>
  </si>
  <si>
    <t>×人数B</t>
    <phoneticPr fontId="1"/>
  </si>
  <si>
    <t>利用定員数に基づく職員数</t>
    <rPh sb="0" eb="2">
      <t>リヨウ</t>
    </rPh>
    <rPh sb="2" eb="5">
      <t>テイインスウ</t>
    </rPh>
    <rPh sb="6" eb="7">
      <t>モト</t>
    </rPh>
    <rPh sb="9" eb="12">
      <t>ショクインスウ</t>
    </rPh>
    <phoneticPr fontId="1"/>
  </si>
  <si>
    <t>※　基本分に含まれる事務職員等ー１（主幹教諭）</t>
    <rPh sb="2" eb="4">
      <t>キホン</t>
    </rPh>
    <rPh sb="4" eb="5">
      <t>ブン</t>
    </rPh>
    <rPh sb="6" eb="7">
      <t>フク</t>
    </rPh>
    <rPh sb="10" eb="12">
      <t>ジム</t>
    </rPh>
    <rPh sb="12" eb="14">
      <t>ショクイン</t>
    </rPh>
    <rPh sb="14" eb="15">
      <t>トウ</t>
    </rPh>
    <rPh sb="18" eb="20">
      <t>シュカン</t>
    </rPh>
    <rPh sb="20" eb="22">
      <t>キョウユ</t>
    </rPh>
    <phoneticPr fontId="1"/>
  </si>
  <si>
    <t>給食実施加算（自園調理に限る。）</t>
    <rPh sb="0" eb="2">
      <t>キュウショク</t>
    </rPh>
    <rPh sb="2" eb="4">
      <t>ジッシ</t>
    </rPh>
    <rPh sb="4" eb="6">
      <t>カサン</t>
    </rPh>
    <rPh sb="7" eb="8">
      <t>ジ</t>
    </rPh>
    <rPh sb="8" eb="9">
      <t>エン</t>
    </rPh>
    <rPh sb="9" eb="11">
      <t>チョウリ</t>
    </rPh>
    <rPh sb="12" eb="13">
      <t>カギ</t>
    </rPh>
    <phoneticPr fontId="1"/>
  </si>
  <si>
    <t>休けい保育教諭</t>
    <rPh sb="0" eb="1">
      <t>キュウ</t>
    </rPh>
    <rPh sb="3" eb="5">
      <t>ホイク</t>
    </rPh>
    <rPh sb="5" eb="7">
      <t>キョウユ</t>
    </rPh>
    <phoneticPr fontId="1"/>
  </si>
  <si>
    <t>給食実施加算（自園調理に限る。）</t>
    <rPh sb="0" eb="2">
      <t>キュウショク</t>
    </rPh>
    <rPh sb="2" eb="4">
      <t>ジッシ</t>
    </rPh>
    <rPh sb="4" eb="6">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</si>
</sst>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_);[Red]\(0.0\)"/>
    <numFmt numFmtId="178" formatCode="0.00_);[Red]\(0.00\)"/>
    <numFmt numFmtId="179" formatCode="0.000_);[Red]\(0.000\)"/>
    <numFmt numFmtId="180" formatCode="0.0_ ;[Red]\-0.0\ "/>
    <numFmt numFmtId="181" formatCode="#,##0_);[Red]\(#,##0\)"/>
  </numFmts>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0"/>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style="thin">
        <color indexed="64"/>
      </right>
      <top style="hair">
        <color indexed="64"/>
      </top>
      <bottom style="hair">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52">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94" xfId="0" applyNumberFormat="1" applyFont="1" applyFill="1" applyBorder="1" applyAlignment="1" applyProtection="1">
      <alignment horizontal="right" vertical="center"/>
      <protection locked="0"/>
    </xf>
    <xf numFmtId="0" fontId="5" fillId="4" borderId="45"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2"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Border="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0" fillId="0" borderId="0" xfId="0" applyBorder="1" applyProtection="1">
      <alignment vertical="center"/>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6" fillId="0" borderId="0"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Fill="1" applyBorder="1" applyProtection="1">
      <alignment vertical="center"/>
      <protection locked="0"/>
    </xf>
    <xf numFmtId="176" fontId="5"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90" xfId="0" applyFont="1" applyBorder="1" applyProtection="1">
      <alignment vertical="center"/>
      <protection locked="0"/>
    </xf>
    <xf numFmtId="0" fontId="5" fillId="0" borderId="91" xfId="0" applyFont="1" applyBorder="1" applyProtection="1">
      <alignment vertical="center"/>
      <protection locked="0"/>
    </xf>
    <xf numFmtId="0" fontId="5" fillId="0" borderId="93" xfId="0" applyFont="1" applyBorder="1" applyProtection="1">
      <alignment vertical="center"/>
      <protection locked="0"/>
    </xf>
    <xf numFmtId="176" fontId="5" fillId="0" borderId="84"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vertical="center"/>
      <protection locked="0"/>
    </xf>
    <xf numFmtId="0" fontId="5" fillId="0" borderId="0" xfId="0" applyFont="1" applyBorder="1" applyProtection="1">
      <alignment vertical="center"/>
      <protection locked="0"/>
    </xf>
    <xf numFmtId="176" fontId="5" fillId="0" borderId="15" xfId="0" applyNumberFormat="1" applyFont="1" applyBorder="1" applyProtection="1">
      <alignment vertical="center"/>
      <protection locked="0"/>
    </xf>
    <xf numFmtId="0" fontId="15" fillId="0" borderId="10" xfId="0" applyFont="1" applyFill="1" applyBorder="1" applyAlignment="1" applyProtection="1">
      <alignment vertical="center"/>
      <protection locked="0"/>
    </xf>
    <xf numFmtId="0" fontId="11" fillId="0" borderId="13" xfId="0" applyFont="1" applyBorder="1" applyProtection="1">
      <alignment vertical="center"/>
      <protection locked="0"/>
    </xf>
    <xf numFmtId="176" fontId="11" fillId="0" borderId="9" xfId="0" applyNumberFormat="1" applyFont="1" applyBorder="1" applyProtection="1">
      <alignment vertical="center"/>
      <protection locked="0"/>
    </xf>
    <xf numFmtId="0" fontId="8" fillId="0" borderId="0" xfId="0" applyFont="1" applyFill="1" applyBorder="1" applyAlignment="1" applyProtection="1">
      <alignment vertical="center"/>
      <protection locked="0"/>
    </xf>
    <xf numFmtId="176" fontId="5" fillId="0" borderId="0" xfId="0" applyNumberFormat="1" applyFont="1" applyBorder="1" applyProtection="1">
      <alignment vertical="center"/>
      <protection locked="0"/>
    </xf>
    <xf numFmtId="176" fontId="10" fillId="0" borderId="0" xfId="0" applyNumberFormat="1" applyFont="1" applyBorder="1" applyProtection="1">
      <alignment vertical="center"/>
      <protection locked="0"/>
    </xf>
    <xf numFmtId="177" fontId="5" fillId="0" borderId="0" xfId="0" applyNumberFormat="1" applyFont="1" applyFill="1" applyBorder="1" applyProtection="1">
      <alignment vertical="center"/>
      <protection locked="0"/>
    </xf>
    <xf numFmtId="176" fontId="6" fillId="0" borderId="0" xfId="0" applyNumberFormat="1" applyFont="1" applyBorder="1" applyProtection="1">
      <alignment vertical="center"/>
      <protection locked="0"/>
    </xf>
    <xf numFmtId="0" fontId="14" fillId="0" borderId="83" xfId="0" applyFont="1" applyBorder="1" applyProtection="1">
      <alignment vertical="center"/>
      <protection locked="0"/>
    </xf>
    <xf numFmtId="0" fontId="14" fillId="0" borderId="13" xfId="0" applyFont="1" applyBorder="1" applyProtection="1">
      <alignment vertical="center"/>
      <protection locked="0"/>
    </xf>
    <xf numFmtId="178" fontId="10" fillId="2" borderId="1" xfId="0" applyNumberFormat="1" applyFont="1" applyFill="1" applyBorder="1" applyProtection="1">
      <alignment vertical="center"/>
      <protection locked="0"/>
    </xf>
    <xf numFmtId="0" fontId="14" fillId="0" borderId="57" xfId="0" applyFont="1" applyBorder="1" applyProtection="1">
      <alignment vertical="center"/>
      <protection locked="0"/>
    </xf>
    <xf numFmtId="0" fontId="14" fillId="0" borderId="10" xfId="0" applyFont="1" applyBorder="1" applyProtection="1">
      <alignment vertical="center"/>
      <protection locked="0"/>
    </xf>
    <xf numFmtId="177" fontId="5" fillId="0" borderId="0" xfId="0" applyNumberFormat="1" applyFont="1" applyBorder="1" applyProtection="1">
      <alignment vertical="center"/>
      <protection locked="0"/>
    </xf>
    <xf numFmtId="38" fontId="14" fillId="0" borderId="13" xfId="1" applyFont="1" applyBorder="1" applyProtection="1">
      <alignment vertical="center"/>
      <protection locked="0"/>
    </xf>
    <xf numFmtId="176" fontId="23" fillId="0" borderId="13" xfId="0" applyNumberFormat="1" applyFont="1" applyBorder="1" applyProtection="1">
      <alignment vertical="center"/>
      <protection locked="0"/>
    </xf>
    <xf numFmtId="0" fontId="14" fillId="0" borderId="95" xfId="0" applyFont="1" applyBorder="1" applyProtection="1">
      <alignment vertical="center"/>
      <protection locked="0"/>
    </xf>
    <xf numFmtId="38" fontId="14" fillId="0" borderId="96" xfId="1" applyFont="1" applyBorder="1" applyProtection="1">
      <alignment vertical="center"/>
      <protection locked="0"/>
    </xf>
    <xf numFmtId="0" fontId="14" fillId="0" borderId="96" xfId="0" applyFont="1" applyBorder="1" applyProtection="1">
      <alignment vertical="center"/>
      <protection locked="0"/>
    </xf>
    <xf numFmtId="176" fontId="23" fillId="0" borderId="96" xfId="0" applyNumberFormat="1" applyFont="1" applyBorder="1" applyProtection="1">
      <alignment vertical="center"/>
      <protection locked="0"/>
    </xf>
    <xf numFmtId="0" fontId="23" fillId="0" borderId="57" xfId="0" applyFont="1" applyBorder="1" applyProtection="1">
      <alignment vertical="center"/>
      <protection locked="0"/>
    </xf>
    <xf numFmtId="0" fontId="14" fillId="0" borderId="62" xfId="0" applyFont="1" applyBorder="1" applyAlignment="1" applyProtection="1">
      <alignment horizontal="right" vertical="center"/>
      <protection locked="0"/>
    </xf>
    <xf numFmtId="0" fontId="23" fillId="0" borderId="62" xfId="0" applyFont="1" applyBorder="1" applyProtection="1">
      <alignment vertical="center"/>
      <protection locked="0"/>
    </xf>
    <xf numFmtId="176" fontId="23" fillId="0" borderId="62" xfId="0" applyNumberFormat="1" applyFont="1" applyBorder="1" applyProtection="1">
      <alignment vertical="center"/>
      <protection locked="0"/>
    </xf>
    <xf numFmtId="176" fontId="5" fillId="0" borderId="27" xfId="0" applyNumberFormat="1" applyFont="1" applyBorder="1" applyProtection="1">
      <alignment vertical="center"/>
    </xf>
    <xf numFmtId="177" fontId="7" fillId="0" borderId="20" xfId="0" applyNumberFormat="1" applyFont="1" applyFill="1" applyBorder="1" applyProtection="1">
      <alignment vertical="center"/>
    </xf>
    <xf numFmtId="178" fontId="10" fillId="2" borderId="37" xfId="0" applyNumberFormat="1" applyFont="1" applyFill="1" applyBorder="1" applyProtection="1">
      <alignment vertical="center"/>
    </xf>
    <xf numFmtId="177" fontId="13" fillId="3" borderId="38" xfId="0" applyNumberFormat="1" applyFont="1" applyFill="1" applyBorder="1" applyProtection="1">
      <alignment vertical="center"/>
    </xf>
    <xf numFmtId="178" fontId="10" fillId="2" borderId="46" xfId="0" applyNumberFormat="1" applyFont="1" applyFill="1" applyBorder="1" applyProtection="1">
      <alignment vertical="center"/>
    </xf>
    <xf numFmtId="177" fontId="13" fillId="3" borderId="47" xfId="0" applyNumberFormat="1" applyFont="1" applyFill="1" applyBorder="1" applyProtection="1">
      <alignment vertical="center"/>
    </xf>
    <xf numFmtId="179" fontId="10" fillId="0" borderId="28" xfId="0" applyNumberFormat="1" applyFont="1" applyFill="1" applyBorder="1" applyProtection="1">
      <alignment vertical="center"/>
    </xf>
    <xf numFmtId="177" fontId="8" fillId="3" borderId="21" xfId="0" applyNumberFormat="1" applyFont="1" applyFill="1" applyBorder="1" applyProtection="1">
      <alignment vertical="center"/>
    </xf>
    <xf numFmtId="176" fontId="10" fillId="0" borderId="26" xfId="0" applyNumberFormat="1" applyFont="1" applyBorder="1" applyProtection="1">
      <alignment vertical="center"/>
    </xf>
    <xf numFmtId="177" fontId="5" fillId="3" borderId="19" xfId="0" applyNumberFormat="1" applyFont="1" applyFill="1" applyBorder="1" applyProtection="1">
      <alignment vertical="center"/>
    </xf>
    <xf numFmtId="180" fontId="5" fillId="3" borderId="19" xfId="0" applyNumberFormat="1" applyFont="1" applyFill="1" applyBorder="1" applyProtection="1">
      <alignment vertical="center"/>
    </xf>
    <xf numFmtId="176" fontId="5" fillId="0" borderId="92" xfId="0" applyNumberFormat="1" applyFont="1" applyFill="1" applyBorder="1" applyProtection="1">
      <alignment vertical="center"/>
    </xf>
    <xf numFmtId="177" fontId="5" fillId="3" borderId="84" xfId="0" applyNumberFormat="1" applyFont="1" applyFill="1" applyBorder="1" applyProtection="1">
      <alignment vertical="center"/>
    </xf>
    <xf numFmtId="176" fontId="10" fillId="0" borderId="18" xfId="0" applyNumberFormat="1" applyFont="1" applyBorder="1" applyProtection="1">
      <alignment vertical="center"/>
    </xf>
    <xf numFmtId="177" fontId="8" fillId="3" borderId="15" xfId="0" applyNumberFormat="1" applyFont="1" applyFill="1" applyBorder="1" applyProtection="1">
      <alignment vertical="center"/>
    </xf>
    <xf numFmtId="176" fontId="16" fillId="0" borderId="10" xfId="0" applyNumberFormat="1" applyFont="1" applyBorder="1" applyProtection="1">
      <alignment vertical="center"/>
    </xf>
    <xf numFmtId="177" fontId="14" fillId="3" borderId="9" xfId="0" applyNumberFormat="1" applyFont="1" applyFill="1" applyBorder="1" applyProtection="1">
      <alignment vertical="center"/>
    </xf>
    <xf numFmtId="176" fontId="10" fillId="0" borderId="0" xfId="0" applyNumberFormat="1" applyFont="1" applyBorder="1" applyProtection="1">
      <alignment vertical="center"/>
    </xf>
    <xf numFmtId="177" fontId="5" fillId="0" borderId="0" xfId="0" applyNumberFormat="1" applyFont="1" applyFill="1" applyBorder="1" applyProtection="1">
      <alignment vertical="center"/>
    </xf>
    <xf numFmtId="176" fontId="5" fillId="0" borderId="0" xfId="0" applyNumberFormat="1" applyFont="1" applyProtection="1">
      <alignment vertical="center"/>
    </xf>
    <xf numFmtId="176" fontId="6" fillId="0" borderId="0" xfId="0" applyNumberFormat="1" applyFont="1" applyBorder="1" applyProtection="1">
      <alignment vertical="center"/>
    </xf>
    <xf numFmtId="178" fontId="10" fillId="2" borderId="1" xfId="0" applyNumberFormat="1" applyFont="1" applyFill="1" applyBorder="1" applyProtection="1">
      <alignment vertical="center"/>
    </xf>
    <xf numFmtId="176" fontId="15" fillId="3" borderId="1" xfId="0" applyNumberFormat="1" applyFont="1" applyFill="1" applyBorder="1" applyProtection="1">
      <alignment vertical="center"/>
    </xf>
    <xf numFmtId="176" fontId="5" fillId="0" borderId="0" xfId="0" applyNumberFormat="1" applyFont="1" applyBorder="1" applyProtection="1">
      <alignment vertical="center"/>
    </xf>
    <xf numFmtId="177" fontId="5" fillId="0" borderId="0" xfId="0" applyNumberFormat="1" applyFont="1" applyBorder="1" applyProtection="1">
      <alignment vertical="center"/>
    </xf>
    <xf numFmtId="176" fontId="23" fillId="0" borderId="13" xfId="0" applyNumberFormat="1" applyFont="1" applyBorder="1" applyProtection="1">
      <alignment vertical="center"/>
    </xf>
    <xf numFmtId="38" fontId="18" fillId="3" borderId="1" xfId="1" applyFont="1" applyFill="1" applyBorder="1" applyAlignment="1" applyProtection="1">
      <alignment vertical="center"/>
    </xf>
    <xf numFmtId="176" fontId="23" fillId="0" borderId="96" xfId="0" applyNumberFormat="1" applyFont="1" applyBorder="1" applyProtection="1">
      <alignment vertical="center"/>
    </xf>
    <xf numFmtId="38" fontId="18" fillId="3" borderId="94" xfId="1" applyFont="1" applyFill="1" applyBorder="1" applyAlignment="1" applyProtection="1">
      <alignment vertical="center"/>
    </xf>
    <xf numFmtId="176" fontId="23" fillId="0" borderId="62" xfId="0" applyNumberFormat="1" applyFont="1" applyBorder="1" applyProtection="1">
      <alignment vertical="center"/>
    </xf>
    <xf numFmtId="38" fontId="23" fillId="3" borderId="3" xfId="1" applyFont="1" applyFill="1" applyBorder="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1"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right" vertical="center"/>
      <protection locked="0"/>
    </xf>
    <xf numFmtId="176" fontId="5" fillId="0" borderId="0" xfId="0" applyNumberFormat="1" applyFont="1" applyFill="1" applyProtection="1">
      <alignment vertical="center"/>
      <protection locked="0"/>
    </xf>
    <xf numFmtId="0" fontId="5" fillId="0" borderId="45" xfId="0" applyFont="1" applyBorder="1" applyProtection="1">
      <alignment vertical="center"/>
      <protection locked="0"/>
    </xf>
    <xf numFmtId="0" fontId="5" fillId="0" borderId="24" xfId="0" applyFont="1" applyBorder="1" applyAlignment="1" applyProtection="1">
      <alignment vertical="center"/>
      <protection locked="0"/>
    </xf>
    <xf numFmtId="0" fontId="5" fillId="0" borderId="29" xfId="0" applyFont="1" applyBorder="1" applyAlignment="1" applyProtection="1">
      <alignment horizontal="right" vertical="center"/>
      <protection locked="0"/>
    </xf>
    <xf numFmtId="0" fontId="5" fillId="4" borderId="31" xfId="0" applyFont="1" applyFill="1" applyBorder="1" applyAlignment="1" applyProtection="1">
      <alignment horizontal="center" vertical="center"/>
      <protection locked="0"/>
    </xf>
    <xf numFmtId="176" fontId="6" fillId="0" borderId="33" xfId="0" applyNumberFormat="1" applyFont="1" applyBorder="1" applyAlignment="1" applyProtection="1">
      <alignment vertical="center"/>
      <protection locked="0"/>
    </xf>
    <xf numFmtId="0" fontId="5" fillId="0" borderId="39" xfId="0" applyFont="1" applyBorder="1" applyAlignment="1" applyProtection="1">
      <alignment horizontal="center" vertical="center"/>
      <protection locked="0"/>
    </xf>
    <xf numFmtId="176" fontId="6" fillId="0" borderId="99" xfId="0" applyNumberFormat="1" applyFont="1" applyBorder="1" applyAlignment="1" applyProtection="1">
      <alignment vertical="center"/>
      <protection locked="0"/>
    </xf>
    <xf numFmtId="178" fontId="10" fillId="0" borderId="0" xfId="0" applyNumberFormat="1" applyFont="1" applyBorder="1" applyProtection="1">
      <alignment vertical="center"/>
      <protection locked="0"/>
    </xf>
    <xf numFmtId="178" fontId="5" fillId="0" borderId="0" xfId="0" applyNumberFormat="1" applyFont="1" applyProtection="1">
      <alignment vertical="center"/>
      <protection locked="0"/>
    </xf>
    <xf numFmtId="176" fontId="5" fillId="0" borderId="13" xfId="0" applyNumberFormat="1" applyFont="1" applyBorder="1" applyProtection="1">
      <alignment vertical="center"/>
      <protection locked="0"/>
    </xf>
    <xf numFmtId="0" fontId="11" fillId="0" borderId="96" xfId="0" applyFont="1" applyBorder="1" applyProtection="1">
      <alignment vertical="center"/>
      <protection locked="0"/>
    </xf>
    <xf numFmtId="176" fontId="5" fillId="0" borderId="96" xfId="0" applyNumberFormat="1" applyFont="1" applyBorder="1" applyProtection="1">
      <alignment vertical="center"/>
      <protection locked="0"/>
    </xf>
    <xf numFmtId="178" fontId="10" fillId="2" borderId="32" xfId="0" applyNumberFormat="1" applyFont="1" applyFill="1" applyBorder="1" applyProtection="1">
      <alignment vertical="center"/>
    </xf>
    <xf numFmtId="177" fontId="13" fillId="3" borderId="33" xfId="0" applyNumberFormat="1" applyFont="1" applyFill="1" applyBorder="1" applyProtection="1">
      <alignment vertical="center"/>
    </xf>
    <xf numFmtId="178" fontId="10" fillId="0" borderId="42" xfId="0" applyNumberFormat="1" applyFont="1" applyFill="1" applyBorder="1" applyProtection="1">
      <alignment vertical="center"/>
    </xf>
    <xf numFmtId="177" fontId="13" fillId="0" borderId="99" xfId="0" applyNumberFormat="1" applyFont="1" applyFill="1" applyBorder="1" applyProtection="1">
      <alignment vertical="center"/>
    </xf>
    <xf numFmtId="178" fontId="10" fillId="0" borderId="55" xfId="0" applyNumberFormat="1" applyFont="1" applyFill="1" applyBorder="1" applyProtection="1">
      <alignment vertical="center"/>
    </xf>
    <xf numFmtId="177" fontId="13" fillId="0" borderId="56" xfId="0" applyNumberFormat="1" applyFont="1" applyFill="1" applyBorder="1" applyProtection="1">
      <alignment vertical="center"/>
    </xf>
    <xf numFmtId="178" fontId="10" fillId="2" borderId="55" xfId="0" applyNumberFormat="1" applyFont="1" applyFill="1" applyBorder="1" applyProtection="1">
      <alignment vertical="center"/>
    </xf>
    <xf numFmtId="177" fontId="13" fillId="3" borderId="56" xfId="0" applyNumberFormat="1" applyFont="1" applyFill="1" applyBorder="1" applyProtection="1">
      <alignment vertical="center"/>
    </xf>
    <xf numFmtId="178" fontId="10" fillId="0" borderId="28" xfId="0" applyNumberFormat="1" applyFont="1" applyFill="1" applyBorder="1" applyProtection="1">
      <alignment vertical="center"/>
    </xf>
    <xf numFmtId="178" fontId="10" fillId="0" borderId="32" xfId="0" applyNumberFormat="1" applyFont="1" applyBorder="1" applyProtection="1">
      <alignment vertical="center"/>
    </xf>
    <xf numFmtId="177" fontId="5" fillId="3" borderId="33" xfId="0" applyNumberFormat="1" applyFont="1" applyFill="1" applyBorder="1" applyProtection="1">
      <alignment vertical="center"/>
    </xf>
    <xf numFmtId="178" fontId="10" fillId="0" borderId="42" xfId="0" applyNumberFormat="1" applyFont="1" applyBorder="1" applyProtection="1">
      <alignment vertical="center"/>
    </xf>
    <xf numFmtId="180" fontId="5" fillId="3" borderId="99" xfId="0" applyNumberFormat="1" applyFont="1" applyFill="1" applyBorder="1" applyProtection="1">
      <alignment vertical="center"/>
    </xf>
    <xf numFmtId="177" fontId="5" fillId="0" borderId="84" xfId="0" applyNumberFormat="1" applyFont="1" applyFill="1" applyBorder="1" applyProtection="1">
      <alignment vertical="center"/>
    </xf>
    <xf numFmtId="178" fontId="10" fillId="0" borderId="18" xfId="0" applyNumberFormat="1" applyFont="1" applyBorder="1" applyProtection="1">
      <alignment vertical="center"/>
    </xf>
    <xf numFmtId="178" fontId="16" fillId="0" borderId="10" xfId="0" applyNumberFormat="1" applyFont="1" applyBorder="1" applyProtection="1">
      <alignment vertical="center"/>
    </xf>
    <xf numFmtId="0" fontId="5" fillId="4" borderId="34" xfId="0" applyFont="1" applyFill="1" applyBorder="1" applyAlignment="1" applyProtection="1">
      <alignment horizontal="center" vertical="center"/>
      <protection locked="0"/>
    </xf>
    <xf numFmtId="0" fontId="5" fillId="0" borderId="49" xfId="0" applyFont="1" applyBorder="1" applyProtection="1">
      <alignment vertical="center"/>
      <protection locked="0"/>
    </xf>
    <xf numFmtId="176" fontId="5" fillId="0" borderId="52" xfId="0"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9" fontId="10" fillId="0" borderId="51" xfId="0" applyNumberFormat="1" applyFont="1" applyFill="1" applyBorder="1" applyProtection="1">
      <alignment vertical="center"/>
    </xf>
    <xf numFmtId="177" fontId="13" fillId="3" borderId="52" xfId="0" applyNumberFormat="1" applyFont="1" applyFill="1" applyBorder="1" applyProtection="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5" borderId="105" xfId="0" applyFont="1" applyFill="1" applyBorder="1" applyAlignment="1" applyProtection="1">
      <alignment horizontal="right" vertical="center"/>
      <protection locked="0"/>
    </xf>
    <xf numFmtId="0" fontId="5" fillId="5" borderId="68" xfId="0" applyFont="1" applyFill="1" applyBorder="1" applyAlignment="1" applyProtection="1">
      <alignment horizontal="right" vertical="center"/>
      <protection locked="0"/>
    </xf>
    <xf numFmtId="0" fontId="5" fillId="0" borderId="80"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24" xfId="0" applyFont="1" applyBorder="1" applyProtection="1">
      <alignment vertical="center"/>
      <protection locked="0"/>
    </xf>
    <xf numFmtId="0" fontId="5" fillId="0" borderId="40" xfId="0" applyFont="1" applyBorder="1" applyProtection="1">
      <alignment vertical="center"/>
      <protection locked="0"/>
    </xf>
    <xf numFmtId="0" fontId="5" fillId="5" borderId="82" xfId="0" applyFont="1" applyFill="1" applyBorder="1" applyAlignment="1" applyProtection="1">
      <alignment horizontal="right" vertical="center"/>
      <protection locked="0"/>
    </xf>
    <xf numFmtId="0" fontId="5" fillId="0" borderId="0" xfId="0" applyFont="1" applyBorder="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Alignment="1" applyProtection="1">
      <alignment vertical="center"/>
      <protection locked="0"/>
    </xf>
    <xf numFmtId="0" fontId="5" fillId="0" borderId="29" xfId="0" applyFont="1" applyBorder="1" applyProtection="1">
      <alignment vertical="center"/>
      <protection locked="0"/>
    </xf>
    <xf numFmtId="0" fontId="5" fillId="0" borderId="34" xfId="0" applyFont="1" applyBorder="1" applyAlignment="1" applyProtection="1">
      <alignment vertical="center"/>
      <protection locked="0"/>
    </xf>
    <xf numFmtId="176" fontId="5" fillId="0" borderId="35" xfId="0" applyNumberFormat="1" applyFont="1" applyBorder="1" applyProtection="1">
      <alignment vertical="center"/>
      <protection locked="0"/>
    </xf>
    <xf numFmtId="0" fontId="5" fillId="0" borderId="36" xfId="0" applyFont="1" applyBorder="1" applyAlignment="1" applyProtection="1">
      <alignment vertical="center"/>
      <protection locked="0"/>
    </xf>
    <xf numFmtId="176" fontId="21" fillId="0" borderId="101" xfId="0" applyNumberFormat="1" applyFont="1" applyFill="1" applyBorder="1" applyAlignment="1" applyProtection="1">
      <alignment horizontal="right" vertical="center"/>
      <protection locked="0"/>
    </xf>
    <xf numFmtId="0" fontId="5" fillId="0" borderId="53" xfId="0" applyFont="1" applyBorder="1" applyAlignment="1" applyProtection="1">
      <alignment vertical="center"/>
      <protection locked="0"/>
    </xf>
    <xf numFmtId="0" fontId="5" fillId="0" borderId="53" xfId="0" applyFont="1" applyBorder="1" applyProtection="1">
      <alignment vertical="center"/>
      <protection locked="0"/>
    </xf>
    <xf numFmtId="0" fontId="5" fillId="0" borderId="45"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176" fontId="6" fillId="0" borderId="4" xfId="0" applyNumberFormat="1" applyFont="1" applyFill="1" applyBorder="1" applyAlignment="1" applyProtection="1">
      <alignment vertical="center"/>
      <protection locked="0"/>
    </xf>
    <xf numFmtId="176" fontId="6" fillId="0" borderId="19" xfId="0" applyNumberFormat="1" applyFont="1" applyFill="1" applyBorder="1" applyAlignment="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Alignment="1" applyProtection="1">
      <alignment vertical="center"/>
      <protection locked="0"/>
    </xf>
    <xf numFmtId="176" fontId="6" fillId="0" borderId="20" xfId="0" applyNumberFormat="1" applyFont="1" applyBorder="1" applyAlignment="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Alignment="1" applyProtection="1">
      <alignment vertical="center"/>
      <protection locked="0"/>
    </xf>
    <xf numFmtId="181" fontId="5" fillId="5" borderId="1" xfId="0" applyNumberFormat="1" applyFont="1" applyFill="1" applyBorder="1" applyAlignment="1" applyProtection="1">
      <alignment horizontal="right" vertical="center"/>
      <protection locked="0"/>
    </xf>
    <xf numFmtId="0" fontId="0" fillId="0" borderId="0" xfId="0" applyFill="1" applyBorder="1" applyProtection="1">
      <alignment vertical="center"/>
      <protection locked="0"/>
    </xf>
    <xf numFmtId="0" fontId="5" fillId="0" borderId="90" xfId="0" applyFont="1" applyFill="1" applyBorder="1" applyAlignment="1" applyProtection="1">
      <alignment horizontal="left" vertical="center"/>
      <protection locked="0"/>
    </xf>
    <xf numFmtId="0" fontId="5" fillId="0" borderId="91" xfId="0" applyFont="1" applyFill="1" applyBorder="1" applyAlignment="1" applyProtection="1">
      <alignment horizontal="left" vertical="center"/>
      <protection locked="0"/>
    </xf>
    <xf numFmtId="0" fontId="5" fillId="0" borderId="91" xfId="0" applyFont="1" applyFill="1" applyBorder="1" applyAlignment="1" applyProtection="1">
      <alignment horizontal="center" vertical="center"/>
      <protection locked="0"/>
    </xf>
    <xf numFmtId="176" fontId="6" fillId="0" borderId="52" xfId="0" applyNumberFormat="1" applyFont="1" applyFill="1" applyBorder="1" applyAlignment="1" applyProtection="1">
      <alignment vertical="center"/>
      <protection locked="0"/>
    </xf>
    <xf numFmtId="176" fontId="5" fillId="0" borderId="62" xfId="0" applyNumberFormat="1" applyFont="1" applyBorder="1" applyProtection="1">
      <alignment vertical="center"/>
      <protection locked="0"/>
    </xf>
    <xf numFmtId="38" fontId="14" fillId="0" borderId="10" xfId="1" applyFont="1" applyBorder="1" applyProtection="1">
      <alignment vertical="center"/>
      <protection locked="0"/>
    </xf>
    <xf numFmtId="38" fontId="14" fillId="0" borderId="13" xfId="1" applyFont="1" applyFill="1" applyBorder="1" applyProtection="1">
      <alignment vertical="center"/>
      <protection locked="0"/>
    </xf>
    <xf numFmtId="38" fontId="23" fillId="0" borderId="13" xfId="1" applyFont="1" applyBorder="1" applyProtection="1">
      <alignment vertical="center"/>
      <protection locked="0"/>
    </xf>
    <xf numFmtId="38" fontId="14" fillId="0" borderId="95" xfId="1" applyFont="1" applyBorder="1" applyProtection="1">
      <alignment vertical="center"/>
      <protection locked="0"/>
    </xf>
    <xf numFmtId="38" fontId="14" fillId="0" borderId="96" xfId="1" applyFont="1" applyFill="1" applyBorder="1" applyProtection="1">
      <alignment vertical="center"/>
      <protection locked="0"/>
    </xf>
    <xf numFmtId="38" fontId="23" fillId="0" borderId="96" xfId="1" applyFont="1" applyBorder="1" applyProtection="1">
      <alignment vertical="center"/>
      <protection locked="0"/>
    </xf>
    <xf numFmtId="38" fontId="23" fillId="0" borderId="57" xfId="1" applyFont="1" applyBorder="1" applyProtection="1">
      <alignment vertical="center"/>
      <protection locked="0"/>
    </xf>
    <xf numFmtId="38" fontId="14" fillId="0" borderId="62" xfId="1" applyFont="1" applyBorder="1" applyAlignment="1" applyProtection="1">
      <alignment horizontal="center" vertical="center"/>
      <protection locked="0"/>
    </xf>
    <xf numFmtId="38" fontId="23" fillId="0" borderId="62" xfId="1" applyFont="1" applyBorder="1" applyProtection="1">
      <alignment vertical="center"/>
      <protection locked="0"/>
    </xf>
    <xf numFmtId="176" fontId="5" fillId="2" borderId="106" xfId="0" applyNumberFormat="1" applyFont="1" applyFill="1" applyBorder="1" applyAlignment="1" applyProtection="1">
      <alignment horizontal="right" vertical="center"/>
    </xf>
    <xf numFmtId="0" fontId="5" fillId="2" borderId="106" xfId="0" applyFont="1" applyFill="1" applyBorder="1" applyAlignment="1" applyProtection="1">
      <alignment horizontal="right" vertical="center"/>
    </xf>
    <xf numFmtId="176" fontId="21" fillId="2" borderId="100" xfId="0" applyNumberFormat="1" applyFont="1" applyFill="1" applyBorder="1" applyAlignment="1" applyProtection="1">
      <alignment horizontal="right" vertical="center"/>
    </xf>
    <xf numFmtId="176" fontId="21" fillId="2" borderId="101" xfId="0" applyNumberFormat="1" applyFont="1" applyFill="1" applyBorder="1" applyAlignment="1" applyProtection="1">
      <alignment horizontal="right" vertical="center"/>
    </xf>
    <xf numFmtId="176" fontId="21" fillId="2" borderId="104" xfId="0" applyNumberFormat="1" applyFont="1" applyFill="1" applyBorder="1" applyAlignment="1" applyProtection="1">
      <alignment horizontal="right" vertical="center"/>
    </xf>
    <xf numFmtId="176" fontId="21" fillId="2" borderId="102" xfId="0" applyNumberFormat="1" applyFont="1" applyFill="1" applyBorder="1" applyAlignment="1" applyProtection="1">
      <alignment horizontal="right" vertical="center"/>
    </xf>
    <xf numFmtId="178" fontId="10" fillId="0" borderId="37" xfId="0" applyNumberFormat="1" applyFont="1" applyFill="1" applyBorder="1" applyProtection="1">
      <alignment vertical="center"/>
    </xf>
    <xf numFmtId="177" fontId="13" fillId="0" borderId="38" xfId="0" applyNumberFormat="1" applyFont="1" applyFill="1" applyBorder="1" applyProtection="1">
      <alignment vertical="center"/>
    </xf>
    <xf numFmtId="176" fontId="5" fillId="0" borderId="26" xfId="0" applyNumberFormat="1" applyFont="1" applyBorder="1" applyProtection="1">
      <alignment vertical="center"/>
    </xf>
    <xf numFmtId="176" fontId="21" fillId="2" borderId="92" xfId="0" applyNumberFormat="1" applyFont="1" applyFill="1" applyBorder="1" applyAlignment="1" applyProtection="1">
      <alignment horizontal="righ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8" xfId="0" applyNumberFormat="1" applyFont="1" applyBorder="1" applyProtection="1">
      <alignment vertical="center"/>
      <protection locked="0"/>
    </xf>
    <xf numFmtId="0" fontId="5" fillId="0" borderId="89" xfId="0" applyFont="1" applyFill="1" applyBorder="1" applyProtection="1">
      <alignmen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2" xfId="0" applyFont="1" applyBorder="1" applyProtection="1">
      <alignment vertical="center"/>
      <protection locked="0"/>
    </xf>
    <xf numFmtId="0" fontId="5" fillId="0" borderId="15" xfId="0" applyFont="1" applyBorder="1" applyProtection="1">
      <alignment vertical="center"/>
      <protection locked="0"/>
    </xf>
    <xf numFmtId="0" fontId="15" fillId="0" borderId="13" xfId="0" applyFont="1" applyFill="1" applyBorder="1" applyAlignment="1" applyProtection="1">
      <alignment vertical="center"/>
      <protection locked="0"/>
    </xf>
    <xf numFmtId="0" fontId="11" fillId="0" borderId="9" xfId="0" applyFont="1" applyBorder="1" applyProtection="1">
      <alignment vertical="center"/>
      <protection locked="0"/>
    </xf>
    <xf numFmtId="176" fontId="11" fillId="0" borderId="13" xfId="0" applyNumberFormat="1" applyFont="1" applyFill="1" applyBorder="1" applyProtection="1">
      <alignment vertical="center"/>
      <protection locked="0"/>
    </xf>
    <xf numFmtId="176" fontId="11" fillId="0" borderId="96" xfId="0" applyNumberFormat="1" applyFont="1" applyFill="1" applyBorder="1" applyProtection="1">
      <alignment vertical="center"/>
      <protection locked="0"/>
    </xf>
    <xf numFmtId="0" fontId="14" fillId="0" borderId="62" xfId="0" applyFont="1" applyBorder="1" applyAlignment="1" applyProtection="1">
      <alignment horizontal="center" vertical="center"/>
      <protection locked="0"/>
    </xf>
    <xf numFmtId="177" fontId="7" fillId="0" borderId="19" xfId="0" applyNumberFormat="1" applyFont="1" applyFill="1" applyBorder="1" applyProtection="1">
      <alignment vertical="center"/>
    </xf>
    <xf numFmtId="176" fontId="10" fillId="0" borderId="51" xfId="0" applyNumberFormat="1" applyFont="1" applyBorder="1" applyProtection="1">
      <alignment vertical="center"/>
    </xf>
    <xf numFmtId="177" fontId="5" fillId="3" borderId="52" xfId="0" applyNumberFormat="1" applyFont="1" applyFill="1" applyBorder="1" applyProtection="1">
      <alignment vertical="center"/>
    </xf>
    <xf numFmtId="176" fontId="14" fillId="3" borderId="9" xfId="0" applyNumberFormat="1" applyFont="1" applyFill="1" applyBorder="1" applyProtection="1">
      <alignment vertical="center"/>
    </xf>
    <xf numFmtId="0" fontId="5" fillId="0" borderId="0" xfId="0" applyFont="1" applyBorder="1" applyAlignment="1" applyProtection="1">
      <alignment vertical="center"/>
      <protection locked="0"/>
    </xf>
    <xf numFmtId="0" fontId="5" fillId="0" borderId="61" xfId="0" applyFont="1" applyBorder="1" applyAlignment="1" applyProtection="1">
      <alignment horizontal="center" vertical="center"/>
      <protection locked="0"/>
    </xf>
    <xf numFmtId="0" fontId="5" fillId="5" borderId="78"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9" xfId="0" applyFont="1" applyBorder="1" applyAlignment="1" applyProtection="1">
      <alignment horizontal="center" vertical="center" wrapText="1"/>
      <protection locked="0"/>
    </xf>
    <xf numFmtId="176" fontId="5" fillId="0" borderId="60"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72" xfId="0" applyNumberFormat="1" applyFont="1" applyBorder="1" applyProtection="1">
      <alignment vertical="center"/>
      <protection locked="0"/>
    </xf>
    <xf numFmtId="0" fontId="5" fillId="0" borderId="71" xfId="0" applyNumberFormat="1" applyFont="1" applyBorder="1" applyProtection="1">
      <alignment vertical="center"/>
      <protection locked="0"/>
    </xf>
    <xf numFmtId="0" fontId="5" fillId="0" borderId="73" xfId="0" applyNumberFormat="1" applyFont="1" applyBorder="1" applyProtection="1">
      <alignment vertical="center"/>
      <protection locked="0"/>
    </xf>
    <xf numFmtId="0" fontId="5" fillId="0" borderId="18" xfId="0" applyFont="1" applyBorder="1" applyAlignment="1" applyProtection="1">
      <alignment horizontal="right" vertical="center"/>
      <protection locked="0"/>
    </xf>
    <xf numFmtId="0" fontId="5" fillId="0" borderId="75" xfId="0" applyNumberFormat="1" applyFont="1" applyBorder="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74" xfId="0" applyNumberFormat="1" applyFont="1" applyBorder="1" applyProtection="1">
      <alignment vertical="center"/>
      <protection locked="0"/>
    </xf>
    <xf numFmtId="0" fontId="5" fillId="0" borderId="63" xfId="0" applyNumberFormat="1" applyFont="1" applyBorder="1" applyProtection="1">
      <alignment vertical="center"/>
      <protection locked="0"/>
    </xf>
    <xf numFmtId="0" fontId="5" fillId="0" borderId="42" xfId="0" applyFont="1" applyBorder="1" applyAlignment="1" applyProtection="1">
      <alignment horizontal="center" vertical="center"/>
      <protection locked="0"/>
    </xf>
    <xf numFmtId="181" fontId="5" fillId="5" borderId="39" xfId="0" applyNumberFormat="1" applyFont="1" applyFill="1" applyBorder="1" applyAlignment="1" applyProtection="1">
      <alignment horizontal="right" vertical="center"/>
      <protection locked="0"/>
    </xf>
    <xf numFmtId="0" fontId="5" fillId="0" borderId="66" xfId="0" applyNumberFormat="1" applyFont="1" applyBorder="1" applyProtection="1">
      <alignment vertical="center"/>
      <protection locked="0"/>
    </xf>
    <xf numFmtId="0" fontId="8" fillId="0" borderId="57" xfId="0" applyFont="1" applyFill="1" applyBorder="1" applyAlignment="1" applyProtection="1">
      <alignment vertical="center"/>
      <protection locked="0"/>
    </xf>
    <xf numFmtId="0" fontId="5" fillId="0" borderId="62" xfId="0" applyFont="1" applyBorder="1" applyProtection="1">
      <alignment vertical="center"/>
      <protection locked="0"/>
    </xf>
    <xf numFmtId="176" fontId="11" fillId="0" borderId="13" xfId="0" applyNumberFormat="1" applyFont="1" applyBorder="1" applyProtection="1">
      <alignment vertical="center"/>
      <protection locked="0"/>
    </xf>
    <xf numFmtId="176" fontId="5" fillId="0" borderId="0" xfId="0" applyNumberFormat="1" applyFont="1" applyBorder="1" applyAlignment="1" applyProtection="1">
      <alignment horizontal="center" vertical="center"/>
      <protection locked="0"/>
    </xf>
    <xf numFmtId="0" fontId="11" fillId="0" borderId="10" xfId="0" applyFont="1" applyBorder="1" applyProtection="1">
      <alignment vertical="center"/>
      <protection locked="0"/>
    </xf>
    <xf numFmtId="176" fontId="14" fillId="0" borderId="13" xfId="0" applyNumberFormat="1" applyFont="1" applyFill="1" applyBorder="1" applyProtection="1">
      <alignment vertical="center"/>
      <protection locked="0"/>
    </xf>
    <xf numFmtId="176" fontId="14" fillId="0" borderId="96" xfId="0" applyNumberFormat="1" applyFont="1" applyFill="1" applyBorder="1" applyProtection="1">
      <alignment vertical="center"/>
      <protection locked="0"/>
    </xf>
    <xf numFmtId="0" fontId="5" fillId="2" borderId="79" xfId="0" applyFont="1" applyFill="1" applyBorder="1" applyAlignment="1" applyProtection="1">
      <alignment horizontal="right" vertical="center"/>
    </xf>
    <xf numFmtId="176" fontId="5" fillId="0" borderId="61" xfId="0" applyNumberFormat="1" applyFont="1" applyFill="1" applyBorder="1" applyAlignment="1" applyProtection="1">
      <alignment horizontal="center" vertical="center" wrapText="1"/>
    </xf>
    <xf numFmtId="177" fontId="8" fillId="3" borderId="65" xfId="0" applyNumberFormat="1" applyFont="1" applyFill="1" applyBorder="1" applyProtection="1">
      <alignment vertical="center"/>
    </xf>
    <xf numFmtId="177" fontId="19" fillId="2" borderId="67" xfId="0" applyNumberFormat="1" applyFont="1" applyFill="1" applyBorder="1" applyProtection="1">
      <alignment vertical="center"/>
    </xf>
    <xf numFmtId="177" fontId="5" fillId="3" borderId="68" xfId="0" applyNumberFormat="1" applyFont="1" applyFill="1" applyBorder="1" applyProtection="1">
      <alignment vertical="center"/>
    </xf>
    <xf numFmtId="180" fontId="5" fillId="3" borderId="69" xfId="0" applyNumberFormat="1" applyFont="1" applyFill="1" applyBorder="1" applyProtection="1">
      <alignment vertical="center"/>
    </xf>
    <xf numFmtId="177" fontId="5" fillId="3" borderId="70" xfId="0" applyNumberFormat="1" applyFont="1" applyFill="1" applyBorder="1" applyProtection="1">
      <alignment vertical="center"/>
    </xf>
    <xf numFmtId="177" fontId="8" fillId="3" borderId="3" xfId="0" applyNumberFormat="1" applyFont="1" applyFill="1" applyBorder="1" applyProtection="1">
      <alignment vertical="center"/>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4" borderId="108"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0" fillId="0" borderId="89" xfId="0" applyBorder="1" applyProtection="1">
      <alignment vertical="center"/>
      <protection locked="0"/>
    </xf>
    <xf numFmtId="0" fontId="0" fillId="0" borderId="109"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6" xfId="0" applyFont="1" applyBorder="1" applyProtection="1">
      <alignment vertical="center"/>
      <protection locked="0"/>
    </xf>
    <xf numFmtId="0" fontId="6" fillId="0" borderId="109" xfId="0" applyFont="1" applyBorder="1" applyAlignment="1" applyProtection="1">
      <alignment horizontal="left" vertical="center"/>
      <protection locked="0"/>
    </xf>
    <xf numFmtId="0" fontId="0" fillId="0" borderId="26" xfId="0" applyBorder="1" applyProtection="1">
      <alignment vertical="center"/>
      <protection locked="0"/>
    </xf>
    <xf numFmtId="0" fontId="0" fillId="0" borderId="19" xfId="0" applyBorder="1" applyProtection="1">
      <alignment vertical="center"/>
      <protection locked="0"/>
    </xf>
    <xf numFmtId="176" fontId="5" fillId="0" borderId="91" xfId="0" applyNumberFormat="1" applyFont="1" applyBorder="1" applyAlignment="1" applyProtection="1">
      <alignment horizontal="center" vertical="center"/>
      <protection locked="0"/>
    </xf>
    <xf numFmtId="0" fontId="0" fillId="0" borderId="84" xfId="0" applyBorder="1" applyProtection="1">
      <alignment vertical="center"/>
      <protection locked="0"/>
    </xf>
    <xf numFmtId="0" fontId="0" fillId="0" borderId="92"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10"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111"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5" xfId="0" applyFont="1" applyBorder="1" applyProtection="1">
      <alignment vertical="center"/>
      <protection locked="0"/>
    </xf>
    <xf numFmtId="0" fontId="5" fillId="0" borderId="18" xfId="0" applyFont="1" applyBorder="1" applyProtection="1">
      <alignment vertical="center"/>
      <protection locked="0"/>
    </xf>
    <xf numFmtId="0" fontId="5" fillId="4" borderId="37" xfId="0" applyFont="1" applyFill="1" applyBorder="1" applyAlignment="1" applyProtection="1">
      <alignment horizontal="center" vertical="center"/>
      <protection locked="0"/>
    </xf>
    <xf numFmtId="0" fontId="5" fillId="0" borderId="37" xfId="0" applyFont="1" applyBorder="1" applyProtection="1">
      <alignment vertical="center"/>
      <protection locked="0"/>
    </xf>
    <xf numFmtId="0" fontId="5" fillId="0" borderId="112" xfId="0" applyFont="1" applyFill="1" applyBorder="1" applyProtection="1">
      <alignment vertical="center"/>
      <protection locked="0"/>
    </xf>
    <xf numFmtId="0" fontId="5" fillId="4" borderId="113" xfId="0" applyFont="1" applyFill="1" applyBorder="1" applyAlignment="1" applyProtection="1">
      <alignment horizontal="center" vertical="center"/>
      <protection locked="0"/>
    </xf>
    <xf numFmtId="0" fontId="5" fillId="0" borderId="51" xfId="0" applyFont="1" applyBorder="1" applyProtection="1">
      <alignment vertical="center"/>
      <protection locked="0"/>
    </xf>
    <xf numFmtId="0" fontId="5" fillId="0" borderId="2" xfId="0" applyFont="1" applyBorder="1" applyAlignment="1" applyProtection="1">
      <alignment horizontal="center" vertical="center" wrapText="1"/>
    </xf>
    <xf numFmtId="0" fontId="5" fillId="4" borderId="88"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protection locked="0"/>
    </xf>
    <xf numFmtId="0" fontId="5" fillId="0" borderId="30"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110" xfId="0" applyFont="1" applyBorder="1" applyAlignment="1" applyProtection="1">
      <alignment vertical="center"/>
      <protection locked="0"/>
    </xf>
    <xf numFmtId="0" fontId="5" fillId="0" borderId="111" xfId="0" applyFont="1" applyBorder="1" applyAlignment="1" applyProtection="1">
      <alignment vertical="center"/>
      <protection locked="0"/>
    </xf>
    <xf numFmtId="0" fontId="5" fillId="0" borderId="115" xfId="0" applyFont="1" applyBorder="1" applyProtection="1">
      <alignment vertical="center"/>
      <protection locked="0"/>
    </xf>
    <xf numFmtId="0" fontId="5" fillId="0" borderId="32" xfId="0" applyFont="1" applyBorder="1" applyProtection="1">
      <alignment vertical="center"/>
      <protection locked="0"/>
    </xf>
    <xf numFmtId="176" fontId="5" fillId="0" borderId="37" xfId="0" applyNumberFormat="1" applyFont="1" applyBorder="1" applyProtection="1">
      <alignment vertical="center"/>
      <protection locked="0"/>
    </xf>
    <xf numFmtId="176" fontId="5" fillId="0" borderId="116" xfId="0" applyNumberFormat="1" applyFont="1" applyFill="1" applyBorder="1" applyAlignment="1" applyProtection="1">
      <alignment horizontal="right" vertical="center"/>
      <protection locked="0"/>
    </xf>
    <xf numFmtId="176" fontId="6" fillId="0" borderId="113" xfId="0" applyNumberFormat="1" applyFont="1" applyFill="1" applyBorder="1" applyAlignment="1" applyProtection="1">
      <alignment vertical="center"/>
      <protection locked="0"/>
    </xf>
    <xf numFmtId="176" fontId="6" fillId="0" borderId="113" xfId="0" applyNumberFormat="1" applyFont="1" applyBorder="1" applyAlignment="1" applyProtection="1">
      <alignment vertical="center"/>
      <protection locked="0"/>
    </xf>
    <xf numFmtId="0" fontId="5" fillId="4" borderId="26"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0" fontId="5" fillId="0" borderId="112"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21" fillId="2" borderId="117" xfId="0" applyNumberFormat="1" applyFont="1" applyFill="1" applyBorder="1" applyAlignment="1" applyProtection="1">
      <alignment horizontal="right" vertical="center"/>
    </xf>
    <xf numFmtId="176" fontId="5" fillId="0" borderId="7" xfId="0" applyNumberFormat="1" applyFont="1" applyFill="1" applyBorder="1" applyAlignment="1" applyProtection="1">
      <alignment horizontal="right" vertical="center"/>
      <protection locked="0"/>
    </xf>
    <xf numFmtId="176" fontId="10" fillId="0" borderId="26" xfId="0" applyNumberFormat="1" applyFont="1" applyFill="1" applyBorder="1" applyProtection="1">
      <alignment vertical="center"/>
    </xf>
    <xf numFmtId="177" fontId="5" fillId="0" borderId="19" xfId="0" applyNumberFormat="1" applyFont="1" applyFill="1" applyBorder="1" applyProtection="1">
      <alignment vertical="center"/>
    </xf>
    <xf numFmtId="180" fontId="5" fillId="0" borderId="19" xfId="0" applyNumberFormat="1" applyFont="1" applyFill="1" applyBorder="1" applyProtection="1">
      <alignment vertical="center"/>
    </xf>
    <xf numFmtId="176" fontId="5" fillId="0" borderId="26" xfId="0" applyNumberFormat="1" applyFont="1" applyFill="1" applyBorder="1" applyProtection="1">
      <alignment vertical="center"/>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5" fillId="0" borderId="88" xfId="0" applyFont="1" applyFill="1" applyBorder="1" applyAlignment="1" applyProtection="1">
      <alignment vertical="center"/>
      <protection locked="0"/>
    </xf>
    <xf numFmtId="0" fontId="5" fillId="0" borderId="119" xfId="0" applyNumberFormat="1" applyFont="1" applyBorder="1" applyProtection="1">
      <alignment vertical="center"/>
      <protection locked="0"/>
    </xf>
    <xf numFmtId="0" fontId="5" fillId="2" borderId="34"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176" fontId="6" fillId="0" borderId="15" xfId="0" applyNumberFormat="1" applyFont="1" applyBorder="1" applyAlignment="1" applyProtection="1">
      <alignment vertical="center"/>
      <protection locked="0"/>
    </xf>
    <xf numFmtId="0" fontId="5" fillId="4" borderId="11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0" fontId="0" fillId="0" borderId="20" xfId="0" applyBorder="1" applyProtection="1">
      <alignment vertical="center"/>
      <protection locked="0"/>
    </xf>
    <xf numFmtId="176" fontId="5" fillId="0" borderId="19" xfId="0" applyNumberFormat="1" applyFont="1" applyBorder="1" applyProtection="1">
      <alignment vertical="center"/>
      <protection locked="0"/>
    </xf>
    <xf numFmtId="177" fontId="5" fillId="0" borderId="33" xfId="0" applyNumberFormat="1" applyFont="1" applyFill="1" applyBorder="1" applyProtection="1">
      <alignment vertical="center"/>
    </xf>
    <xf numFmtId="0" fontId="5" fillId="0" borderId="8" xfId="0" applyFont="1" applyBorder="1" applyAlignment="1" applyProtection="1">
      <alignment horizontal="center" vertical="center"/>
      <protection locked="0"/>
    </xf>
    <xf numFmtId="176" fontId="10" fillId="0" borderId="32" xfId="0" applyNumberFormat="1" applyFont="1" applyFill="1" applyBorder="1" applyProtection="1">
      <alignment vertical="center"/>
    </xf>
    <xf numFmtId="0" fontId="5" fillId="0" borderId="12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6" fontId="5" fillId="0" borderId="121" xfId="0" applyNumberFormat="1" applyFont="1" applyFill="1" applyBorder="1" applyAlignment="1" applyProtection="1">
      <alignment horizontal="right" vertical="center"/>
      <protection locked="0"/>
    </xf>
    <xf numFmtId="177" fontId="5" fillId="3" borderId="78" xfId="0" applyNumberFormat="1" applyFont="1" applyFill="1" applyBorder="1" applyProtection="1">
      <alignment vertical="center"/>
    </xf>
    <xf numFmtId="176" fontId="5" fillId="5" borderId="16" xfId="0" applyNumberFormat="1"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0" fontId="5" fillId="0" borderId="122" xfId="0" applyNumberFormat="1" applyFont="1" applyBorder="1" applyProtection="1">
      <alignment vertical="center"/>
      <protection locked="0"/>
    </xf>
    <xf numFmtId="177" fontId="5" fillId="3" borderId="79" xfId="0" applyNumberFormat="1" applyFont="1" applyFill="1" applyBorder="1" applyProtection="1">
      <alignment vertical="center"/>
    </xf>
    <xf numFmtId="0" fontId="5" fillId="0" borderId="26"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180" fontId="5" fillId="3" borderId="67" xfId="0" applyNumberFormat="1" applyFont="1" applyFill="1" applyBorder="1" applyProtection="1">
      <alignment vertical="center"/>
    </xf>
    <xf numFmtId="0" fontId="5" fillId="0" borderId="33" xfId="0" applyFont="1" applyBorder="1" applyAlignment="1" applyProtection="1">
      <alignment horizontal="left" vertical="center"/>
      <protection locked="0"/>
    </xf>
    <xf numFmtId="176" fontId="10" fillId="0" borderId="32" xfId="0" applyNumberFormat="1" applyFont="1" applyBorder="1" applyProtection="1">
      <alignment vertical="center"/>
    </xf>
    <xf numFmtId="0" fontId="14" fillId="0" borderId="62" xfId="0" applyFont="1" applyBorder="1" applyProtection="1">
      <alignment vertical="center"/>
      <protection locked="0"/>
    </xf>
    <xf numFmtId="0" fontId="11" fillId="0" borderId="62" xfId="0" applyFont="1" applyBorder="1" applyProtection="1">
      <alignment vertical="center"/>
      <protection locked="0"/>
    </xf>
    <xf numFmtId="178" fontId="10" fillId="2" borderId="3" xfId="0" applyNumberFormat="1" applyFont="1" applyFill="1" applyBorder="1" applyProtection="1">
      <alignment vertical="center"/>
      <protection locked="0"/>
    </xf>
    <xf numFmtId="176" fontId="15" fillId="3" borderId="3" xfId="0" applyNumberFormat="1" applyFont="1" applyFill="1" applyBorder="1" applyProtection="1">
      <alignment vertical="center"/>
    </xf>
    <xf numFmtId="0" fontId="23" fillId="0" borderId="62" xfId="0" applyFont="1" applyBorder="1" applyAlignment="1" applyProtection="1">
      <alignment horizontal="center" vertical="center"/>
      <protection locked="0"/>
    </xf>
    <xf numFmtId="3" fontId="14" fillId="0" borderId="13" xfId="0" applyNumberFormat="1" applyFont="1" applyBorder="1" applyProtection="1">
      <alignment vertical="center"/>
      <protection locked="0"/>
    </xf>
    <xf numFmtId="3" fontId="14" fillId="0" borderId="96" xfId="0" applyNumberFormat="1" applyFont="1" applyBorder="1" applyProtection="1">
      <alignment vertical="center"/>
      <protection locked="0"/>
    </xf>
    <xf numFmtId="176" fontId="14" fillId="3" borderId="1" xfId="0" applyNumberFormat="1" applyFont="1" applyFill="1" applyBorder="1" applyProtection="1">
      <alignment vertical="center"/>
    </xf>
    <xf numFmtId="0" fontId="5" fillId="4" borderId="126" xfId="0" applyFont="1" applyFill="1" applyBorder="1" applyAlignment="1" applyProtection="1">
      <alignment horizontal="center" vertical="center"/>
      <protection locked="0"/>
    </xf>
    <xf numFmtId="177" fontId="5" fillId="3" borderId="38" xfId="0" applyNumberFormat="1" applyFont="1" applyFill="1" applyBorder="1" applyProtection="1">
      <alignment vertical="center"/>
    </xf>
    <xf numFmtId="0" fontId="15" fillId="0" borderId="0" xfId="0" applyFont="1" applyFill="1" applyBorder="1" applyAlignment="1" applyProtection="1">
      <alignment vertical="center"/>
      <protection locked="0"/>
    </xf>
    <xf numFmtId="0" fontId="11" fillId="0" borderId="0" xfId="0" applyFont="1" applyBorder="1" applyProtection="1">
      <alignment vertical="center"/>
      <protection locked="0"/>
    </xf>
    <xf numFmtId="176" fontId="11" fillId="0" borderId="0" xfId="0" applyNumberFormat="1" applyFont="1" applyBorder="1" applyProtection="1">
      <alignment vertical="center"/>
      <protection locked="0"/>
    </xf>
    <xf numFmtId="176" fontId="14" fillId="0" borderId="0" xfId="0" applyNumberFormat="1" applyFont="1" applyFill="1" applyBorder="1" applyProtection="1">
      <alignment vertical="center"/>
    </xf>
    <xf numFmtId="0" fontId="5" fillId="0" borderId="76"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19" fillId="2" borderId="64" xfId="0" applyNumberFormat="1" applyFont="1" applyFill="1" applyBorder="1" applyAlignment="1" applyProtection="1">
      <alignment horizontal="right" vertical="center"/>
    </xf>
    <xf numFmtId="177" fontId="19" fillId="2" borderId="65" xfId="0" applyNumberFormat="1" applyFont="1" applyFill="1" applyBorder="1" applyAlignment="1" applyProtection="1">
      <alignment horizontal="right" vertical="center"/>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0" borderId="6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29"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5" fillId="0" borderId="124"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8" fillId="0" borderId="92"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8" fillId="0" borderId="125" xfId="0" applyFont="1" applyBorder="1" applyAlignment="1" applyProtection="1">
      <alignment vertical="center"/>
      <protection locked="0"/>
    </xf>
    <xf numFmtId="0" fontId="5" fillId="0" borderId="26"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9" xfId="0" applyFont="1" applyBorder="1" applyAlignment="1" applyProtection="1">
      <alignment horizontal="left"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0" fontId="5" fillId="0" borderId="35" xfId="0" applyFont="1" applyBorder="1" applyAlignment="1" applyProtection="1">
      <alignment horizontal="left" vertical="center"/>
      <protection locked="0"/>
    </xf>
    <xf numFmtId="0" fontId="5" fillId="0" borderId="83"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103"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76" fontId="5" fillId="0" borderId="28" xfId="0" applyNumberFormat="1" applyFont="1" applyFill="1" applyBorder="1" applyAlignment="1" applyProtection="1">
      <alignment horizontal="center" vertical="center" wrapText="1"/>
    </xf>
    <xf numFmtId="176" fontId="5" fillId="0" borderId="21" xfId="0" applyNumberFormat="1"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protection locked="0"/>
    </xf>
    <xf numFmtId="176" fontId="5" fillId="0" borderId="21" xfId="0" applyNumberFormat="1" applyFont="1" applyFill="1" applyBorder="1" applyAlignment="1" applyProtection="1">
      <alignment horizontal="center" vertical="center"/>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protection locked="0"/>
    </xf>
    <xf numFmtId="0" fontId="5" fillId="0" borderId="29"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4" fillId="0" borderId="83" xfId="0" applyFont="1" applyBorder="1" applyAlignment="1" applyProtection="1">
      <alignment horizontal="left" vertical="center"/>
      <protection locked="0"/>
    </xf>
    <xf numFmtId="0" fontId="14" fillId="0" borderId="85" xfId="0" applyFont="1" applyBorder="1" applyAlignment="1" applyProtection="1">
      <alignment horizontal="left" vertical="center"/>
      <protection locked="0"/>
    </xf>
    <xf numFmtId="0" fontId="14" fillId="0" borderId="103" xfId="0" applyFont="1" applyBorder="1" applyAlignment="1" applyProtection="1">
      <alignment horizontal="left" vertical="center"/>
      <protection locked="0"/>
    </xf>
    <xf numFmtId="176" fontId="5" fillId="0" borderId="22" xfId="0" applyNumberFormat="1" applyFont="1" applyFill="1" applyBorder="1" applyAlignment="1" applyProtection="1">
      <alignment horizontal="center" vertical="center"/>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98"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39"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9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176" fontId="5" fillId="0" borderId="25" xfId="0" applyNumberFormat="1" applyFont="1" applyFill="1" applyBorder="1" applyAlignment="1" applyProtection="1">
      <alignment horizontal="center" vertical="center" wrapText="1"/>
      <protection locked="0"/>
    </xf>
    <xf numFmtId="176" fontId="5" fillId="0" borderId="22" xfId="0" applyNumberFormat="1" applyFont="1" applyFill="1" applyBorder="1" applyAlignment="1" applyProtection="1">
      <alignment horizontal="center" vertical="center"/>
      <protection locked="0"/>
    </xf>
    <xf numFmtId="0" fontId="5" fillId="0" borderId="118"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07"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119"/>
  <sheetViews>
    <sheetView zoomScaleNormal="100" workbookViewId="0">
      <selection sqref="A1:H1"/>
    </sheetView>
  </sheetViews>
  <sheetFormatPr defaultColWidth="9" defaultRowHeight="18.75"/>
  <cols>
    <col min="1" max="1" width="2.875" style="11" customWidth="1"/>
    <col min="2" max="2" width="3" style="9" customWidth="1"/>
    <col min="3" max="3" width="14.625" style="9" customWidth="1"/>
    <col min="4" max="4" width="32.625" style="9" customWidth="1"/>
    <col min="5" max="5" width="12" style="9" customWidth="1"/>
    <col min="6" max="6" width="10.25" style="9" customWidth="1"/>
    <col min="7" max="7" width="15.5" style="10" customWidth="1"/>
    <col min="8" max="8" width="14.25" style="10" customWidth="1"/>
    <col min="9" max="9" width="12.125" style="10" customWidth="1"/>
    <col min="10" max="10" width="29" style="10" customWidth="1"/>
    <col min="11" max="16384" width="9" style="11"/>
  </cols>
  <sheetData>
    <row r="1" spans="1:10" s="8" customFormat="1" ht="31.5" customHeight="1">
      <c r="A1" s="364" t="s">
        <v>54</v>
      </c>
      <c r="B1" s="364"/>
      <c r="C1" s="364"/>
      <c r="D1" s="364"/>
      <c r="E1" s="364"/>
      <c r="F1" s="364"/>
      <c r="G1" s="364"/>
      <c r="H1" s="364"/>
      <c r="I1" s="7"/>
      <c r="J1" s="7"/>
    </row>
    <row r="2" spans="1:10" ht="19.5" customHeight="1" thickBot="1">
      <c r="A2" s="9"/>
    </row>
    <row r="3" spans="1:10" ht="19.5" customHeight="1" thickBot="1">
      <c r="A3" s="9"/>
      <c r="C3" s="12" t="s">
        <v>26</v>
      </c>
      <c r="D3" s="327"/>
      <c r="E3" s="361" t="s">
        <v>55</v>
      </c>
      <c r="F3" s="362"/>
      <c r="G3" s="363"/>
      <c r="H3" s="216"/>
      <c r="J3" s="11"/>
    </row>
    <row r="4" spans="1:10" ht="19.5" customHeight="1">
      <c r="A4" s="9"/>
      <c r="C4" s="12"/>
      <c r="D4" s="327"/>
      <c r="E4" s="13"/>
      <c r="F4" s="13"/>
      <c r="G4" s="13"/>
      <c r="H4" s="13"/>
      <c r="J4" s="11"/>
    </row>
    <row r="5" spans="1:10" ht="19.5" customHeight="1" thickBot="1">
      <c r="A5" s="14" t="s">
        <v>64</v>
      </c>
      <c r="C5" s="12"/>
      <c r="D5" s="327"/>
      <c r="E5" s="13"/>
      <c r="F5" s="13"/>
      <c r="G5" s="13"/>
      <c r="H5" s="13"/>
      <c r="J5" s="11"/>
    </row>
    <row r="6" spans="1:10" ht="19.5" customHeight="1">
      <c r="A6" s="15"/>
      <c r="B6" s="369"/>
      <c r="C6" s="370"/>
      <c r="D6" s="370"/>
      <c r="E6" s="370"/>
      <c r="F6" s="217" t="s">
        <v>68</v>
      </c>
      <c r="G6" s="13"/>
      <c r="H6" s="13"/>
      <c r="I6" s="13"/>
    </row>
    <row r="7" spans="1:10" ht="19.5" customHeight="1">
      <c r="A7" s="14"/>
      <c r="B7" s="367" t="s">
        <v>65</v>
      </c>
      <c r="C7" s="368"/>
      <c r="D7" s="368"/>
      <c r="E7" s="368"/>
      <c r="F7" s="218">
        <v>160</v>
      </c>
      <c r="G7" s="13"/>
      <c r="H7" s="13"/>
      <c r="I7" s="13"/>
    </row>
    <row r="8" spans="1:10" ht="19.5" customHeight="1">
      <c r="A8" s="14"/>
      <c r="B8" s="365" t="s">
        <v>0</v>
      </c>
      <c r="C8" s="366"/>
      <c r="D8" s="366"/>
      <c r="E8" s="366"/>
      <c r="F8" s="242">
        <f>F9+F10</f>
        <v>160</v>
      </c>
      <c r="G8" s="13"/>
      <c r="H8" s="13"/>
      <c r="I8" s="13"/>
    </row>
    <row r="9" spans="1:10" ht="19.5" customHeight="1">
      <c r="A9" s="14"/>
      <c r="B9" s="142"/>
      <c r="C9" s="355" t="s">
        <v>66</v>
      </c>
      <c r="D9" s="356"/>
      <c r="E9" s="356"/>
      <c r="F9" s="145">
        <v>80</v>
      </c>
      <c r="G9" s="13"/>
      <c r="H9" s="13"/>
      <c r="I9" s="13"/>
    </row>
    <row r="10" spans="1:10" ht="19.5" customHeight="1">
      <c r="A10" s="14"/>
      <c r="B10" s="142"/>
      <c r="C10" s="355" t="s">
        <v>72</v>
      </c>
      <c r="D10" s="356"/>
      <c r="E10" s="356"/>
      <c r="F10" s="145">
        <v>80</v>
      </c>
      <c r="G10" s="13"/>
      <c r="H10" s="13"/>
      <c r="I10" s="13"/>
    </row>
    <row r="11" spans="1:10" ht="19.5" customHeight="1" thickBot="1">
      <c r="A11" s="14"/>
      <c r="B11" s="219"/>
      <c r="C11" s="357" t="s">
        <v>67</v>
      </c>
      <c r="D11" s="358"/>
      <c r="E11" s="358"/>
      <c r="F11" s="150">
        <v>40</v>
      </c>
      <c r="G11" s="13"/>
      <c r="H11" s="13"/>
      <c r="I11" s="13"/>
    </row>
    <row r="12" spans="1:10" ht="22.5" customHeight="1">
      <c r="A12" s="14"/>
      <c r="B12" s="151" t="s">
        <v>92</v>
      </c>
      <c r="C12" s="371" t="s">
        <v>103</v>
      </c>
      <c r="D12" s="371"/>
      <c r="E12" s="371"/>
      <c r="F12" s="371"/>
      <c r="G12" s="371"/>
      <c r="H12" s="13"/>
      <c r="I12" s="13"/>
    </row>
    <row r="13" spans="1:10" ht="22.5" customHeight="1">
      <c r="A13" s="9"/>
      <c r="B13" s="151"/>
      <c r="C13" s="371"/>
      <c r="D13" s="371"/>
      <c r="E13" s="371"/>
      <c r="F13" s="371"/>
      <c r="G13" s="371"/>
      <c r="H13" s="13"/>
      <c r="J13" s="11"/>
    </row>
    <row r="14" spans="1:10" ht="24" customHeight="1">
      <c r="A14" s="22"/>
      <c r="B14" s="45"/>
      <c r="C14" s="40"/>
      <c r="D14" s="40"/>
      <c r="E14" s="40"/>
      <c r="F14" s="46"/>
      <c r="G14" s="47"/>
      <c r="H14" s="48"/>
      <c r="I14" s="46"/>
      <c r="J14" s="11"/>
    </row>
    <row r="15" spans="1:10" ht="19.5" customHeight="1" thickBot="1">
      <c r="A15" s="14" t="s">
        <v>61</v>
      </c>
      <c r="F15" s="10"/>
      <c r="J15" s="11"/>
    </row>
    <row r="16" spans="1:10" ht="33.75" customHeight="1">
      <c r="B16" s="220"/>
      <c r="C16" s="372"/>
      <c r="D16" s="373"/>
      <c r="E16" s="221" t="s">
        <v>25</v>
      </c>
      <c r="F16" s="222" t="s">
        <v>24</v>
      </c>
      <c r="G16" s="243" t="s">
        <v>29</v>
      </c>
      <c r="H16" s="11"/>
      <c r="I16" s="11"/>
      <c r="J16" s="11"/>
    </row>
    <row r="17" spans="1:10" ht="24" customHeight="1">
      <c r="A17" s="22"/>
      <c r="B17" s="223" t="s">
        <v>10</v>
      </c>
      <c r="C17" s="368" t="s">
        <v>63</v>
      </c>
      <c r="D17" s="374"/>
      <c r="E17" s="308"/>
      <c r="F17" s="225"/>
      <c r="G17" s="244">
        <f>ROUND(SUM($G$18:$G$20),0)</f>
        <v>12</v>
      </c>
      <c r="H17" s="11"/>
      <c r="I17" s="11"/>
      <c r="J17" s="11"/>
    </row>
    <row r="18" spans="1:10" ht="24" customHeight="1">
      <c r="A18" s="22"/>
      <c r="B18" s="227"/>
      <c r="C18" s="375" t="s">
        <v>71</v>
      </c>
      <c r="D18" s="376"/>
      <c r="E18" s="224"/>
      <c r="F18" s="226"/>
      <c r="G18" s="245">
        <f>ROUNDDOWN($F$9*1/30,1)</f>
        <v>2.6</v>
      </c>
      <c r="H18" s="11"/>
      <c r="I18" s="11"/>
      <c r="J18" s="11"/>
    </row>
    <row r="19" spans="1:10" ht="24" customHeight="1">
      <c r="A19" s="22"/>
      <c r="B19" s="227"/>
      <c r="C19" s="377" t="s">
        <v>70</v>
      </c>
      <c r="D19" s="378"/>
      <c r="E19" s="100" t="s">
        <v>6</v>
      </c>
      <c r="F19" s="228"/>
      <c r="G19" s="359">
        <f>IF($E$19="あり",IF($E$20="あり",ROUNDDOWN(($F$10-$F$11)*1/15,1)+ROUNDDOWN($F$11*1/6,1),ROUNDDOWN($F$10*1/15,1)),IF($E$20="あり",ROUNDDOWN(($F$10-$F$11)*1/20,1)+ROUNDDOWN($F$11*1/6,1),ROUNDDOWN($F$10*1/20,1)))</f>
        <v>9.1999999999999993</v>
      </c>
      <c r="H19" s="28"/>
      <c r="I19" s="11"/>
      <c r="J19" s="11"/>
    </row>
    <row r="20" spans="1:10" ht="24" customHeight="1">
      <c r="A20" s="22"/>
      <c r="B20" s="227"/>
      <c r="C20" s="379" t="s">
        <v>69</v>
      </c>
      <c r="D20" s="380"/>
      <c r="E20" s="229" t="s">
        <v>6</v>
      </c>
      <c r="F20" s="230"/>
      <c r="G20" s="360"/>
      <c r="H20" s="28"/>
      <c r="I20" s="11"/>
      <c r="J20" s="11"/>
    </row>
    <row r="21" spans="1:10" ht="24" customHeight="1">
      <c r="A21" s="22"/>
      <c r="B21" s="329" t="s">
        <v>16</v>
      </c>
      <c r="C21" s="381" t="s">
        <v>110</v>
      </c>
      <c r="D21" s="382"/>
      <c r="E21" s="4" t="s">
        <v>6</v>
      </c>
      <c r="F21" s="330"/>
      <c r="G21" s="331">
        <f>IF(E21="あり",0.8,0)</f>
        <v>0.8</v>
      </c>
      <c r="H21" s="28"/>
      <c r="I21" s="11"/>
      <c r="J21" s="11"/>
    </row>
    <row r="22" spans="1:10" ht="24" customHeight="1">
      <c r="A22" s="22"/>
      <c r="B22" s="329" t="s">
        <v>17</v>
      </c>
      <c r="C22" s="381" t="s">
        <v>1</v>
      </c>
      <c r="D22" s="382"/>
      <c r="E22" s="4" t="s">
        <v>6</v>
      </c>
      <c r="F22" s="332">
        <v>4</v>
      </c>
      <c r="G22" s="331">
        <f>IF(E22="あり",F22,0)</f>
        <v>4</v>
      </c>
      <c r="H22" s="11"/>
      <c r="I22" s="11"/>
      <c r="J22" s="11"/>
    </row>
    <row r="23" spans="1:10" ht="24" customHeight="1">
      <c r="A23" s="22"/>
      <c r="B23" s="223" t="s">
        <v>18</v>
      </c>
      <c r="C23" s="381" t="s">
        <v>2</v>
      </c>
      <c r="D23" s="382"/>
      <c r="E23" s="333" t="s">
        <v>6</v>
      </c>
      <c r="F23" s="334"/>
      <c r="G23" s="335">
        <f>IF(E23="あり",IF(F7&gt;=151,1.5,0.8),0)</f>
        <v>1.5</v>
      </c>
      <c r="H23" s="11"/>
      <c r="I23" s="11"/>
      <c r="J23" s="11"/>
    </row>
    <row r="24" spans="1:10" ht="24" customHeight="1">
      <c r="A24" s="22"/>
      <c r="B24" s="223" t="s">
        <v>19</v>
      </c>
      <c r="C24" s="383" t="s">
        <v>137</v>
      </c>
      <c r="D24" s="376"/>
      <c r="E24" s="229" t="s">
        <v>6</v>
      </c>
      <c r="F24" s="334"/>
      <c r="G24" s="246">
        <f>IF(E24="あり",IF(F7&gt;=151,3,2),0)</f>
        <v>3</v>
      </c>
      <c r="H24" s="11"/>
      <c r="I24" s="11"/>
      <c r="J24" s="11"/>
    </row>
    <row r="25" spans="1:10" ht="24" customHeight="1">
      <c r="A25" s="22"/>
      <c r="B25" s="329" t="s">
        <v>20</v>
      </c>
      <c r="C25" s="381" t="s">
        <v>3</v>
      </c>
      <c r="D25" s="382"/>
      <c r="E25" s="4" t="s">
        <v>6</v>
      </c>
      <c r="F25" s="231"/>
      <c r="G25" s="331">
        <f>IF(E25="あり",1,0)</f>
        <v>1</v>
      </c>
      <c r="H25" s="11"/>
      <c r="I25" s="11"/>
      <c r="J25" s="11"/>
    </row>
    <row r="26" spans="1:10" ht="24" customHeight="1">
      <c r="A26" s="22"/>
      <c r="B26" s="329" t="s">
        <v>57</v>
      </c>
      <c r="C26" s="381" t="s">
        <v>38</v>
      </c>
      <c r="D26" s="382"/>
      <c r="E26" s="4" t="s">
        <v>6</v>
      </c>
      <c r="F26" s="231"/>
      <c r="G26" s="331">
        <f>IF(E26="あり",0.8,0)</f>
        <v>0.8</v>
      </c>
      <c r="H26" s="11"/>
      <c r="I26" s="11"/>
      <c r="J26" s="11"/>
    </row>
    <row r="27" spans="1:10" ht="24" customHeight="1">
      <c r="A27" s="22"/>
      <c r="B27" s="329" t="s">
        <v>58</v>
      </c>
      <c r="C27" s="381" t="s">
        <v>4</v>
      </c>
      <c r="D27" s="382"/>
      <c r="E27" s="4" t="s">
        <v>6</v>
      </c>
      <c r="F27" s="231"/>
      <c r="G27" s="331">
        <f>IF(E27="あり",0.8,0)</f>
        <v>0.8</v>
      </c>
      <c r="H27" s="11"/>
      <c r="I27" s="11"/>
      <c r="J27" s="11"/>
    </row>
    <row r="28" spans="1:10" ht="24" customHeight="1">
      <c r="A28" s="22"/>
      <c r="B28" s="336" t="s">
        <v>96</v>
      </c>
      <c r="C28" s="381" t="s">
        <v>41</v>
      </c>
      <c r="D28" s="382"/>
      <c r="E28" s="4" t="s">
        <v>6</v>
      </c>
      <c r="F28" s="231"/>
      <c r="G28" s="331">
        <f>IF(E28="あり",0.8,0)</f>
        <v>0.8</v>
      </c>
      <c r="H28" s="11"/>
      <c r="I28" s="11"/>
      <c r="J28" s="11"/>
    </row>
    <row r="29" spans="1:10" ht="24" customHeight="1">
      <c r="A29" s="22"/>
      <c r="B29" s="336" t="s">
        <v>123</v>
      </c>
      <c r="C29" s="381" t="s">
        <v>124</v>
      </c>
      <c r="D29" s="382"/>
      <c r="E29" s="4" t="s">
        <v>6</v>
      </c>
      <c r="F29" s="231"/>
      <c r="G29" s="331">
        <f>IF(E29="あり",0.5,0)</f>
        <v>0.5</v>
      </c>
      <c r="H29" s="11"/>
      <c r="I29" s="11"/>
      <c r="J29" s="11"/>
    </row>
    <row r="30" spans="1:10" ht="24" customHeight="1">
      <c r="A30" s="22"/>
      <c r="B30" s="337" t="s">
        <v>109</v>
      </c>
      <c r="C30" s="390" t="s">
        <v>56</v>
      </c>
      <c r="D30" s="376"/>
      <c r="E30" s="106" t="s">
        <v>6</v>
      </c>
      <c r="F30" s="231"/>
      <c r="G30" s="338">
        <f>IF(E30="あり",-1,0)</f>
        <v>-1</v>
      </c>
      <c r="H30" s="11"/>
      <c r="I30" s="11"/>
      <c r="J30" s="11"/>
    </row>
    <row r="31" spans="1:10" ht="24" customHeight="1">
      <c r="A31" s="22"/>
      <c r="B31" s="232" t="s">
        <v>122</v>
      </c>
      <c r="C31" s="391" t="s">
        <v>5</v>
      </c>
      <c r="D31" s="380"/>
      <c r="E31" s="99" t="s">
        <v>59</v>
      </c>
      <c r="F31" s="233">
        <v>3</v>
      </c>
      <c r="G31" s="247">
        <f>IF(E31="満たさない",-F31,0)</f>
        <v>-3</v>
      </c>
      <c r="H31" s="11"/>
      <c r="I31" s="11"/>
      <c r="J31" s="11"/>
    </row>
    <row r="32" spans="1:10" ht="24" customHeight="1" thickBot="1">
      <c r="A32" s="22"/>
      <c r="B32" s="392" t="s">
        <v>135</v>
      </c>
      <c r="C32" s="393"/>
      <c r="D32" s="394"/>
      <c r="E32" s="234"/>
      <c r="F32" s="234"/>
      <c r="G32" s="248">
        <f>IF(F7&lt;=35,0.4,IF(F7&lt;=300,1.4,0.4))</f>
        <v>1.4</v>
      </c>
      <c r="H32" s="11"/>
      <c r="I32" s="11"/>
      <c r="J32" s="11"/>
    </row>
    <row r="33" spans="1:10" ht="24" customHeight="1" thickTop="1" thickBot="1">
      <c r="A33" s="22"/>
      <c r="B33" s="235" t="s">
        <v>9</v>
      </c>
      <c r="C33" s="236"/>
      <c r="D33" s="236"/>
      <c r="E33" s="236"/>
      <c r="F33" s="177"/>
      <c r="G33" s="249">
        <f>SUM(G17,G21:G32)</f>
        <v>22.6</v>
      </c>
      <c r="H33" s="11"/>
      <c r="I33" s="11"/>
      <c r="J33" s="11"/>
    </row>
    <row r="34" spans="1:10" ht="24" customHeight="1" thickBot="1">
      <c r="A34" s="22"/>
      <c r="B34" s="42" t="s">
        <v>31</v>
      </c>
      <c r="C34" s="43"/>
      <c r="D34" s="43"/>
      <c r="E34" s="43"/>
      <c r="F34" s="237"/>
      <c r="G34" s="348">
        <f>ROUND(G33,0)</f>
        <v>23</v>
      </c>
      <c r="H34" s="46"/>
      <c r="I34" s="11"/>
      <c r="J34" s="11"/>
    </row>
    <row r="35" spans="1:10" ht="24" customHeight="1">
      <c r="A35" s="22"/>
      <c r="B35" s="351" t="s">
        <v>136</v>
      </c>
      <c r="C35" s="352"/>
      <c r="D35" s="352"/>
      <c r="E35" s="352"/>
      <c r="F35" s="353"/>
      <c r="G35" s="354"/>
      <c r="H35" s="46"/>
      <c r="I35" s="11"/>
      <c r="J35" s="11"/>
    </row>
    <row r="36" spans="1:10" ht="24" customHeight="1">
      <c r="A36" s="22"/>
      <c r="B36" s="45"/>
      <c r="C36" s="40"/>
      <c r="D36" s="40"/>
      <c r="E36" s="40"/>
      <c r="F36" s="46"/>
      <c r="G36" s="47"/>
      <c r="H36" s="48"/>
      <c r="I36" s="46"/>
      <c r="J36" s="11"/>
    </row>
    <row r="37" spans="1:10" ht="24" customHeight="1" thickBot="1">
      <c r="A37" s="15" t="s">
        <v>60</v>
      </c>
      <c r="B37" s="40"/>
      <c r="C37" s="40"/>
      <c r="D37" s="40"/>
      <c r="E37" s="40"/>
      <c r="F37" s="49"/>
      <c r="G37" s="47"/>
      <c r="H37" s="55"/>
      <c r="I37" s="238"/>
      <c r="J37" s="11"/>
    </row>
    <row r="38" spans="1:10" ht="24" customHeight="1" thickBot="1">
      <c r="A38" s="22"/>
      <c r="B38" s="384" t="s">
        <v>33</v>
      </c>
      <c r="C38" s="385"/>
      <c r="D38" s="385"/>
      <c r="E38" s="385"/>
      <c r="F38" s="386"/>
      <c r="G38" s="88">
        <f>IF(ROUND(G34/3,0)=0,1,ROUND(G34/3,0))</f>
        <v>8</v>
      </c>
      <c r="H38" s="46"/>
      <c r="I38" s="11"/>
      <c r="J38" s="11"/>
    </row>
    <row r="39" spans="1:10" ht="24" customHeight="1" thickBot="1">
      <c r="A39" s="22"/>
      <c r="B39" s="387" t="s">
        <v>34</v>
      </c>
      <c r="C39" s="388"/>
      <c r="D39" s="388"/>
      <c r="E39" s="388"/>
      <c r="F39" s="389"/>
      <c r="G39" s="88">
        <f>IF(ROUND(G34/5,0)=0,1,ROUND(G34/5,0))</f>
        <v>5</v>
      </c>
      <c r="H39" s="46"/>
      <c r="I39" s="11"/>
      <c r="J39" s="11"/>
    </row>
    <row r="40" spans="1:10" ht="33.75" customHeight="1">
      <c r="A40" s="22"/>
      <c r="B40" s="40"/>
      <c r="C40" s="40"/>
      <c r="D40" s="40"/>
      <c r="E40" s="40"/>
      <c r="F40" s="46"/>
      <c r="G40" s="46"/>
      <c r="H40" s="55"/>
      <c r="I40" s="46"/>
      <c r="J40" s="11"/>
    </row>
    <row r="41" spans="1:10" ht="27" customHeight="1" thickBot="1">
      <c r="A41" s="15" t="s">
        <v>62</v>
      </c>
      <c r="B41" s="40"/>
      <c r="C41" s="40"/>
      <c r="D41" s="40"/>
      <c r="E41" s="40"/>
      <c r="F41" s="46"/>
      <c r="G41" s="46"/>
      <c r="H41" s="46"/>
      <c r="I41" s="46"/>
      <c r="J41" s="11"/>
    </row>
    <row r="42" spans="1:10" ht="21" customHeight="1" thickBot="1">
      <c r="B42" s="54"/>
      <c r="C42" s="346">
        <v>51140</v>
      </c>
      <c r="D42" s="51" t="s">
        <v>133</v>
      </c>
      <c r="E42" s="51"/>
      <c r="F42" s="240"/>
      <c r="G42" s="92">
        <f>C42*G38</f>
        <v>409120</v>
      </c>
      <c r="H42" s="46"/>
      <c r="I42" s="11"/>
      <c r="J42" s="11"/>
    </row>
    <row r="43" spans="1:10" ht="21" customHeight="1" thickBot="1">
      <c r="B43" s="58"/>
      <c r="C43" s="347">
        <v>6390</v>
      </c>
      <c r="D43" s="60" t="s">
        <v>134</v>
      </c>
      <c r="E43" s="60"/>
      <c r="F43" s="241"/>
      <c r="G43" s="94">
        <f>C43*G39</f>
        <v>31950</v>
      </c>
      <c r="H43" s="46"/>
      <c r="I43" s="11"/>
      <c r="J43" s="11"/>
    </row>
    <row r="44" spans="1:10" ht="21" customHeight="1" thickTop="1" thickBot="1">
      <c r="B44" s="62"/>
      <c r="C44" s="345" t="s">
        <v>132</v>
      </c>
      <c r="D44" s="64"/>
      <c r="E44" s="64"/>
      <c r="F44" s="64"/>
      <c r="G44" s="96">
        <f>SUM(G42:G43)</f>
        <v>441070</v>
      </c>
      <c r="H44" s="46"/>
      <c r="I44" s="46"/>
      <c r="J44" s="46"/>
    </row>
    <row r="45" spans="1:10" ht="33.75" customHeight="1">
      <c r="B45" s="40"/>
      <c r="C45" s="40"/>
      <c r="D45" s="40"/>
      <c r="E45" s="40"/>
      <c r="F45" s="40"/>
      <c r="G45" s="46"/>
      <c r="H45" s="46"/>
      <c r="I45" s="46"/>
      <c r="J45" s="46"/>
    </row>
    <row r="46" spans="1:10" ht="33.75" customHeight="1">
      <c r="B46" s="40"/>
      <c r="C46" s="40"/>
      <c r="D46" s="40"/>
      <c r="E46" s="40"/>
      <c r="F46" s="40"/>
      <c r="G46" s="46"/>
      <c r="H46" s="46"/>
      <c r="I46" s="46"/>
      <c r="J46" s="46"/>
    </row>
    <row r="47" spans="1:10" ht="33.75" customHeight="1">
      <c r="B47" s="40"/>
      <c r="C47" s="40"/>
      <c r="D47" s="40"/>
      <c r="E47" s="40"/>
      <c r="F47" s="40"/>
      <c r="G47" s="46"/>
      <c r="H47" s="46"/>
      <c r="I47" s="46"/>
      <c r="J47" s="46"/>
    </row>
    <row r="48" spans="1:10"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9">
    <mergeCell ref="C26:D26"/>
    <mergeCell ref="C27:D27"/>
    <mergeCell ref="C28:D28"/>
    <mergeCell ref="B38:F38"/>
    <mergeCell ref="B39:F39"/>
    <mergeCell ref="C29:D29"/>
    <mergeCell ref="C30:D30"/>
    <mergeCell ref="C31:D31"/>
    <mergeCell ref="B32:D32"/>
    <mergeCell ref="C21:D21"/>
    <mergeCell ref="C22:D22"/>
    <mergeCell ref="C23:D23"/>
    <mergeCell ref="C24:D24"/>
    <mergeCell ref="C25:D25"/>
    <mergeCell ref="C10:E10"/>
    <mergeCell ref="C11:E11"/>
    <mergeCell ref="G19:G20"/>
    <mergeCell ref="E3:G3"/>
    <mergeCell ref="A1:H1"/>
    <mergeCell ref="B8:E8"/>
    <mergeCell ref="B7:E7"/>
    <mergeCell ref="B6:E6"/>
    <mergeCell ref="C9:E9"/>
    <mergeCell ref="C12:G13"/>
    <mergeCell ref="C16:D16"/>
    <mergeCell ref="C17:D17"/>
    <mergeCell ref="C18:D18"/>
    <mergeCell ref="C19:D19"/>
    <mergeCell ref="C20:D20"/>
  </mergeCells>
  <phoneticPr fontId="1"/>
  <dataValidations count="2">
    <dataValidation type="list" allowBlank="1" showInputMessage="1" showErrorMessage="1" sqref="E31">
      <formula1>"　,満たす,満たさない"</formula1>
    </dataValidation>
    <dataValidation type="list" allowBlank="1" showInputMessage="1" showErrorMessage="1" sqref="E19:E30">
      <formula1>"　,あり,なし"</formula1>
    </dataValidation>
  </dataValidations>
  <pageMargins left="0.92" right="0.56000000000000005" top="0.75" bottom="0.75" header="0.3" footer="0.3"/>
  <pageSetup paperSize="9" scale="68"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19"/>
  <sheetViews>
    <sheetView zoomScaleNormal="100" workbookViewId="0"/>
  </sheetViews>
  <sheetFormatPr defaultColWidth="9" defaultRowHeight="18.75"/>
  <cols>
    <col min="1" max="1" width="2.875" style="11" customWidth="1"/>
    <col min="2" max="2" width="3" style="9" customWidth="1"/>
    <col min="3" max="3" width="12.125" style="9" customWidth="1"/>
    <col min="4" max="4" width="20.625" style="9" customWidth="1"/>
    <col min="5" max="5" width="10" style="9" customWidth="1"/>
    <col min="6" max="6" width="10" style="10" customWidth="1"/>
    <col min="7" max="7" width="0.25" style="10" customWidth="1"/>
    <col min="8" max="8" width="13.125" style="10" customWidth="1"/>
    <col min="9" max="9" width="10" style="10" customWidth="1"/>
    <col min="10" max="10" width="10" style="11" customWidth="1"/>
    <col min="11" max="11" width="0.25" style="11" customWidth="1"/>
    <col min="12" max="12" width="13.125" style="11" customWidth="1"/>
    <col min="13" max="16384" width="9" style="11"/>
  </cols>
  <sheetData>
    <row r="1" spans="1:12" s="8" customFormat="1" ht="23.25" customHeight="1">
      <c r="A1" s="6" t="s">
        <v>28</v>
      </c>
      <c r="B1" s="6"/>
      <c r="C1" s="6"/>
      <c r="D1" s="6"/>
      <c r="E1" s="6"/>
      <c r="F1" s="7"/>
      <c r="G1" s="7"/>
      <c r="H1" s="7"/>
      <c r="I1" s="7"/>
    </row>
    <row r="2" spans="1:12" ht="19.5" customHeight="1" thickBot="1">
      <c r="A2" s="9"/>
    </row>
    <row r="3" spans="1:12" ht="19.5" customHeight="1" thickBot="1">
      <c r="A3" s="9"/>
      <c r="C3" s="400" t="s">
        <v>26</v>
      </c>
      <c r="D3" s="400"/>
      <c r="E3" s="361" t="s">
        <v>27</v>
      </c>
      <c r="F3" s="362"/>
      <c r="G3" s="362"/>
      <c r="H3" s="363"/>
    </row>
    <row r="4" spans="1:12" ht="19.5" customHeight="1">
      <c r="A4" s="9"/>
      <c r="E4" s="13"/>
      <c r="F4" s="13"/>
      <c r="G4" s="13"/>
      <c r="H4" s="13"/>
    </row>
    <row r="5" spans="1:12" ht="19.5" customHeight="1" thickBot="1">
      <c r="A5" s="14" t="s">
        <v>64</v>
      </c>
      <c r="E5" s="13"/>
      <c r="F5" s="13"/>
      <c r="G5" s="13"/>
      <c r="H5" s="13"/>
    </row>
    <row r="6" spans="1:12" ht="19.5" customHeight="1" thickBot="1">
      <c r="A6" s="15"/>
      <c r="B6" s="251"/>
      <c r="C6" s="252"/>
      <c r="D6" s="252"/>
      <c r="E6" s="199" t="s">
        <v>98</v>
      </c>
      <c r="F6" s="197" t="s">
        <v>68</v>
      </c>
      <c r="G6" s="13"/>
      <c r="H6" s="13"/>
      <c r="I6" s="13"/>
      <c r="J6" s="197" t="s">
        <v>68</v>
      </c>
    </row>
    <row r="7" spans="1:12" ht="37.5" customHeight="1" thickBot="1">
      <c r="A7" s="15"/>
      <c r="B7" s="367" t="s">
        <v>97</v>
      </c>
      <c r="C7" s="368"/>
      <c r="D7" s="368"/>
      <c r="E7" s="253" t="s">
        <v>6</v>
      </c>
      <c r="F7" s="16" t="s">
        <v>100</v>
      </c>
      <c r="G7" s="13"/>
      <c r="H7" s="13"/>
      <c r="I7" s="13"/>
      <c r="J7" s="280" t="str">
        <f>IF(E7="あり","分園分を記入","入力不要")</f>
        <v>分園分を記入</v>
      </c>
    </row>
    <row r="8" spans="1:12" ht="19.5" customHeight="1" thickBot="1">
      <c r="A8" s="14"/>
      <c r="B8" s="367" t="s">
        <v>65</v>
      </c>
      <c r="C8" s="368"/>
      <c r="D8" s="368"/>
      <c r="E8" s="368"/>
      <c r="F8" s="1">
        <v>100</v>
      </c>
      <c r="G8" s="13"/>
      <c r="H8" s="13"/>
      <c r="I8" s="13"/>
      <c r="J8" s="1">
        <v>20</v>
      </c>
    </row>
    <row r="9" spans="1:12" ht="19.5" customHeight="1" thickBot="1">
      <c r="A9" s="14"/>
      <c r="B9" s="365" t="s">
        <v>75</v>
      </c>
      <c r="C9" s="366"/>
      <c r="D9" s="366"/>
      <c r="E9" s="366"/>
      <c r="F9" s="188">
        <f>F10+F11+F12+F13</f>
        <v>100</v>
      </c>
      <c r="H9" s="13"/>
      <c r="I9" s="13"/>
      <c r="J9" s="188">
        <f>J10+J11+J12+J13</f>
        <v>20</v>
      </c>
    </row>
    <row r="10" spans="1:12" ht="19.5" customHeight="1">
      <c r="A10" s="14"/>
      <c r="B10" s="142"/>
      <c r="C10" s="355" t="s">
        <v>66</v>
      </c>
      <c r="D10" s="356"/>
      <c r="E10" s="143"/>
      <c r="F10" s="144">
        <v>40</v>
      </c>
      <c r="G10" s="13"/>
      <c r="H10" s="13"/>
      <c r="I10" s="13"/>
      <c r="J10" s="144">
        <v>5</v>
      </c>
    </row>
    <row r="11" spans="1:12" ht="19.5" customHeight="1">
      <c r="A11" s="14"/>
      <c r="B11" s="142"/>
      <c r="C11" s="355" t="s">
        <v>73</v>
      </c>
      <c r="D11" s="356"/>
      <c r="E11" s="143"/>
      <c r="F11" s="145">
        <v>30</v>
      </c>
      <c r="G11" s="13"/>
      <c r="H11" s="13"/>
      <c r="I11" s="13"/>
      <c r="J11" s="145">
        <v>5</v>
      </c>
    </row>
    <row r="12" spans="1:12" ht="19.5" customHeight="1">
      <c r="A12" s="14"/>
      <c r="B12" s="142"/>
      <c r="C12" s="356" t="s">
        <v>12</v>
      </c>
      <c r="D12" s="403"/>
      <c r="E12" s="143"/>
      <c r="F12" s="145">
        <v>20</v>
      </c>
      <c r="G12" s="13"/>
      <c r="H12" s="13"/>
      <c r="I12" s="13"/>
      <c r="J12" s="145">
        <v>5</v>
      </c>
    </row>
    <row r="13" spans="1:12" ht="19.5" customHeight="1" thickBot="1">
      <c r="A13" s="9"/>
      <c r="B13" s="148"/>
      <c r="C13" s="357" t="s">
        <v>13</v>
      </c>
      <c r="D13" s="358"/>
      <c r="E13" s="149"/>
      <c r="F13" s="150">
        <v>10</v>
      </c>
      <c r="G13" s="13"/>
      <c r="H13" s="13"/>
      <c r="J13" s="150">
        <v>5</v>
      </c>
    </row>
    <row r="14" spans="1:12" ht="42.75" customHeight="1">
      <c r="A14" s="9"/>
      <c r="B14" s="250" t="s">
        <v>92</v>
      </c>
      <c r="C14" s="371" t="s">
        <v>103</v>
      </c>
      <c r="D14" s="371"/>
      <c r="E14" s="371"/>
      <c r="F14" s="371"/>
      <c r="G14" s="371"/>
      <c r="H14" s="371"/>
      <c r="I14" s="371"/>
      <c r="J14" s="371"/>
      <c r="K14" s="371"/>
      <c r="L14" s="371"/>
    </row>
    <row r="15" spans="1:12" ht="19.5" customHeight="1">
      <c r="A15" s="9"/>
      <c r="B15" s="151"/>
      <c r="C15" s="305"/>
      <c r="D15" s="305"/>
      <c r="E15" s="305"/>
      <c r="F15" s="305"/>
      <c r="G15" s="305"/>
      <c r="H15" s="305"/>
    </row>
    <row r="16" spans="1:12" ht="19.5" customHeight="1" thickBot="1">
      <c r="A16" s="14" t="s">
        <v>61</v>
      </c>
    </row>
    <row r="17" spans="1:12" ht="19.5" customHeight="1" thickBot="1">
      <c r="A17" s="14"/>
      <c r="E17" s="404" t="s">
        <v>99</v>
      </c>
      <c r="F17" s="405"/>
      <c r="G17" s="405"/>
      <c r="H17" s="406"/>
      <c r="I17" s="407" t="str">
        <f>IF(E7="あり","分園分","選択不要")</f>
        <v>分園分</v>
      </c>
      <c r="J17" s="408"/>
      <c r="K17" s="408"/>
      <c r="L17" s="409"/>
    </row>
    <row r="18" spans="1:12" ht="33" customHeight="1">
      <c r="B18" s="19"/>
      <c r="C18" s="152"/>
      <c r="D18" s="152"/>
      <c r="E18" s="282" t="s">
        <v>25</v>
      </c>
      <c r="F18" s="283"/>
      <c r="G18" s="401" t="s">
        <v>29</v>
      </c>
      <c r="H18" s="402"/>
      <c r="I18" s="254" t="s">
        <v>25</v>
      </c>
      <c r="J18" s="255"/>
      <c r="K18" s="410" t="s">
        <v>29</v>
      </c>
      <c r="L18" s="411"/>
    </row>
    <row r="19" spans="1:12" ht="19.5" customHeight="1">
      <c r="A19" s="22"/>
      <c r="B19" s="23" t="s">
        <v>10</v>
      </c>
      <c r="C19" s="152" t="s">
        <v>11</v>
      </c>
      <c r="D19" s="200"/>
      <c r="E19" s="272"/>
      <c r="F19" s="201"/>
      <c r="G19" s="195"/>
      <c r="H19" s="212"/>
      <c r="J19" s="256"/>
      <c r="K19" s="257"/>
      <c r="L19" s="258"/>
    </row>
    <row r="20" spans="1:12" ht="19.5" customHeight="1">
      <c r="A20" s="22"/>
      <c r="B20" s="26"/>
      <c r="C20" s="159" t="s">
        <v>8</v>
      </c>
      <c r="D20" s="269"/>
      <c r="E20" s="273"/>
      <c r="F20" s="191">
        <f>F10</f>
        <v>40</v>
      </c>
      <c r="G20" s="121">
        <f>F20*1/30</f>
        <v>1.3333333333333333</v>
      </c>
      <c r="H20" s="122">
        <f>ROUNDDOWN(G20,1)</f>
        <v>1.3</v>
      </c>
      <c r="I20" s="160"/>
      <c r="J20" s="191">
        <f>IF(E7="あり",J10,0)</f>
        <v>5</v>
      </c>
      <c r="K20" s="121">
        <f>J20*1/30</f>
        <v>0.16666666666666666</v>
      </c>
      <c r="L20" s="122">
        <f>ROUNDDOWN(K20,1)</f>
        <v>0.1</v>
      </c>
    </row>
    <row r="21" spans="1:12" ht="19.5" customHeight="1">
      <c r="A21" s="22"/>
      <c r="B21" s="26"/>
      <c r="C21" s="155" t="s">
        <v>95</v>
      </c>
      <c r="D21" s="270"/>
      <c r="E21" s="274"/>
      <c r="F21" s="190">
        <f>F11</f>
        <v>30</v>
      </c>
      <c r="G21" s="68">
        <f>IF(E22="なし",F21/20,F21/15)</f>
        <v>2</v>
      </c>
      <c r="H21" s="69">
        <f>ROUNDDOWN(G21,1)</f>
        <v>2</v>
      </c>
      <c r="I21" s="9"/>
      <c r="J21" s="191">
        <f>IF(E7="あり",J11,0)</f>
        <v>5</v>
      </c>
      <c r="K21" s="68">
        <f>IF(I22="なし",J21/20,J21/15)</f>
        <v>0.33333333333333331</v>
      </c>
      <c r="L21" s="69">
        <f>ROUNDDOWN(K21,1)</f>
        <v>0.3</v>
      </c>
    </row>
    <row r="22" spans="1:12" ht="19.5" customHeight="1">
      <c r="A22" s="22"/>
      <c r="B22" s="26"/>
      <c r="C22" s="155" t="s">
        <v>88</v>
      </c>
      <c r="D22" s="270"/>
      <c r="E22" s="275" t="s">
        <v>6</v>
      </c>
      <c r="F22" s="158"/>
      <c r="G22" s="193"/>
      <c r="H22" s="194"/>
      <c r="I22" s="309" t="str">
        <f>E22</f>
        <v>あり</v>
      </c>
      <c r="J22" s="158"/>
      <c r="K22" s="193"/>
      <c r="L22" s="194"/>
    </row>
    <row r="23" spans="1:12" ht="19.5" customHeight="1">
      <c r="A23" s="22"/>
      <c r="B23" s="26"/>
      <c r="C23" s="155" t="s">
        <v>12</v>
      </c>
      <c r="D23" s="270"/>
      <c r="E23" s="276"/>
      <c r="F23" s="190">
        <f>F12</f>
        <v>20</v>
      </c>
      <c r="G23" s="68">
        <f>F23*1/6</f>
        <v>3.3333333333333335</v>
      </c>
      <c r="H23" s="69">
        <f>ROUNDDOWN(G23,1)</f>
        <v>3.3</v>
      </c>
      <c r="I23" s="27"/>
      <c r="J23" s="191">
        <f>IF(E7="あり",J12,0)</f>
        <v>5</v>
      </c>
      <c r="K23" s="68">
        <f>J23*1/6</f>
        <v>0.83333333333333337</v>
      </c>
      <c r="L23" s="69">
        <f>ROUNDDOWN(K23,1)</f>
        <v>0.8</v>
      </c>
    </row>
    <row r="24" spans="1:12" ht="19.5" customHeight="1" thickBot="1">
      <c r="A24" s="22"/>
      <c r="B24" s="26"/>
      <c r="C24" s="161" t="s">
        <v>13</v>
      </c>
      <c r="D24" s="271"/>
      <c r="E24" s="259"/>
      <c r="F24" s="192">
        <f>F13</f>
        <v>10</v>
      </c>
      <c r="G24" s="70">
        <f>F24*1/3</f>
        <v>3.3333333333333335</v>
      </c>
      <c r="H24" s="71">
        <f>ROUNDDOWN(G24,1)</f>
        <v>3.3</v>
      </c>
      <c r="I24" s="259"/>
      <c r="J24" s="192">
        <f>IF(E7="あり",J13,0)</f>
        <v>5</v>
      </c>
      <c r="K24" s="70">
        <f>J24*1/3</f>
        <v>1.6666666666666667</v>
      </c>
      <c r="L24" s="71">
        <f>ROUNDDOWN(K24,1)</f>
        <v>1.6</v>
      </c>
    </row>
    <row r="25" spans="1:12" ht="19.5" customHeight="1" thickTop="1">
      <c r="A25" s="22"/>
      <c r="B25" s="29"/>
      <c r="C25" s="104" t="s">
        <v>30</v>
      </c>
      <c r="D25" s="29"/>
      <c r="E25" s="277"/>
      <c r="F25" s="202"/>
      <c r="G25" s="72"/>
      <c r="H25" s="73">
        <f>ROUND(SUM(H20:H24),0)</f>
        <v>10</v>
      </c>
      <c r="J25" s="260"/>
      <c r="K25" s="72"/>
      <c r="L25" s="73">
        <f>ROUND(SUM(L20:L24),0)</f>
        <v>3</v>
      </c>
    </row>
    <row r="26" spans="1:12" ht="19.5" customHeight="1">
      <c r="A26" s="22"/>
      <c r="B26" s="32" t="s">
        <v>16</v>
      </c>
      <c r="C26" s="166" t="s">
        <v>15</v>
      </c>
      <c r="D26" s="200"/>
      <c r="E26" s="278" t="s">
        <v>6</v>
      </c>
      <c r="F26" s="201"/>
      <c r="G26" s="74"/>
      <c r="H26" s="75">
        <f>IF(E26="あり",1.4,0)</f>
        <v>1.4</v>
      </c>
      <c r="I26" s="169" t="s">
        <v>6</v>
      </c>
      <c r="J26" s="201"/>
      <c r="K26" s="74"/>
      <c r="L26" s="75">
        <f>IF(E7="あり",IF(I26="あり",1.4,0),0)</f>
        <v>1.4</v>
      </c>
    </row>
    <row r="27" spans="1:12" ht="19.5" customHeight="1">
      <c r="A27" s="22"/>
      <c r="B27" s="32" t="s">
        <v>17</v>
      </c>
      <c r="C27" s="166" t="s">
        <v>14</v>
      </c>
      <c r="D27" s="200"/>
      <c r="E27" s="278" t="s">
        <v>6</v>
      </c>
      <c r="F27" s="201"/>
      <c r="G27" s="74"/>
      <c r="H27" s="75">
        <f>IF(E27="あり",1,0)</f>
        <v>1</v>
      </c>
      <c r="I27" s="398" t="str">
        <f>IF($E$7="あり","本園分で選択","－")</f>
        <v>本園分で選択</v>
      </c>
      <c r="J27" s="399"/>
      <c r="K27" s="261"/>
      <c r="L27" s="262"/>
    </row>
    <row r="28" spans="1:12" ht="19.5" customHeight="1">
      <c r="A28" s="22"/>
      <c r="B28" s="32" t="s">
        <v>18</v>
      </c>
      <c r="C28" s="166" t="s">
        <v>21</v>
      </c>
      <c r="D28" s="200"/>
      <c r="E28" s="278" t="s">
        <v>6</v>
      </c>
      <c r="F28" s="201"/>
      <c r="G28" s="74"/>
      <c r="H28" s="75">
        <f>IF(E28="あり",0.3,0)</f>
        <v>0.3</v>
      </c>
      <c r="I28" s="398" t="str">
        <f t="shared" ref="I28:I31" si="0">IF($E$7="あり","本園分で選択","－")</f>
        <v>本園分で選択</v>
      </c>
      <c r="J28" s="399"/>
      <c r="K28" s="261"/>
      <c r="L28" s="262"/>
    </row>
    <row r="29" spans="1:12" ht="19.5" customHeight="1">
      <c r="A29" s="22"/>
      <c r="B29" s="32" t="s">
        <v>19</v>
      </c>
      <c r="C29" s="166" t="s">
        <v>22</v>
      </c>
      <c r="D29" s="200"/>
      <c r="E29" s="278" t="s">
        <v>6</v>
      </c>
      <c r="F29" s="201"/>
      <c r="G29" s="74"/>
      <c r="H29" s="75">
        <f>IF(E29="あり",0.5,0)</f>
        <v>0.5</v>
      </c>
      <c r="I29" s="398" t="str">
        <f t="shared" si="0"/>
        <v>本園分で選択</v>
      </c>
      <c r="J29" s="399"/>
      <c r="K29" s="261"/>
      <c r="L29" s="262"/>
    </row>
    <row r="30" spans="1:12" ht="19.5" customHeight="1">
      <c r="A30" s="22"/>
      <c r="B30" s="32" t="s">
        <v>20</v>
      </c>
      <c r="C30" s="166" t="s">
        <v>23</v>
      </c>
      <c r="D30" s="200"/>
      <c r="E30" s="278" t="s">
        <v>6</v>
      </c>
      <c r="F30" s="201"/>
      <c r="G30" s="74"/>
      <c r="H30" s="75">
        <f>IF(E30="あり",1,0)</f>
        <v>1</v>
      </c>
      <c r="I30" s="398" t="str">
        <f t="shared" si="0"/>
        <v>本園分で選択</v>
      </c>
      <c r="J30" s="399"/>
      <c r="K30" s="261"/>
      <c r="L30" s="262"/>
    </row>
    <row r="31" spans="1:12" ht="19.5" customHeight="1">
      <c r="A31" s="22"/>
      <c r="B31" s="32" t="s">
        <v>125</v>
      </c>
      <c r="C31" s="368" t="s">
        <v>124</v>
      </c>
      <c r="D31" s="397"/>
      <c r="E31" s="278" t="s">
        <v>6</v>
      </c>
      <c r="F31" s="322"/>
      <c r="G31" s="74"/>
      <c r="H31" s="75">
        <f>IF(E31="あり",0.6,0)</f>
        <v>0.6</v>
      </c>
      <c r="I31" s="395" t="str">
        <f t="shared" si="0"/>
        <v>本園分で選択</v>
      </c>
      <c r="J31" s="396"/>
      <c r="K31" s="320"/>
      <c r="L31" s="321"/>
    </row>
    <row r="32" spans="1:12" ht="19.5" customHeight="1" thickBot="1">
      <c r="A32" s="22"/>
      <c r="B32" s="203" t="s">
        <v>74</v>
      </c>
      <c r="C32" s="204"/>
      <c r="D32" s="204"/>
      <c r="E32" s="279"/>
      <c r="F32" s="205"/>
      <c r="G32" s="213"/>
      <c r="H32" s="214">
        <f>IF(F8&lt;=40,1.5,IF(F8&lt;=90,2.5,IF(F8&lt;=150,2.3,IF(F8&gt;=151,3.3,0))))</f>
        <v>2.2999999999999998</v>
      </c>
      <c r="I32" s="263"/>
      <c r="J32" s="264"/>
      <c r="K32" s="265"/>
      <c r="L32" s="78">
        <f>IF(E7="あり",IF(J8&lt;=40,1.5,IF(J8&lt;=90,2.5,IF(J8&lt;=150,2.3,IF(J8&gt;=151,3.3,0)))),0)</f>
        <v>1.5</v>
      </c>
    </row>
    <row r="33" spans="1:12" ht="19.5" customHeight="1" thickTop="1" thickBot="1">
      <c r="A33" s="22"/>
      <c r="B33" s="39" t="s">
        <v>9</v>
      </c>
      <c r="C33" s="45"/>
      <c r="D33" s="45"/>
      <c r="E33" s="274"/>
      <c r="F33" s="206"/>
      <c r="G33" s="79"/>
      <c r="H33" s="80">
        <f>SUM(H32,H25,H26:H31)</f>
        <v>17.100000000000001</v>
      </c>
      <c r="J33" s="258"/>
      <c r="K33" s="257"/>
      <c r="L33" s="80">
        <f>SUM(L25,L26,,L32)</f>
        <v>5.9</v>
      </c>
    </row>
    <row r="34" spans="1:12" ht="19.5" customHeight="1" thickBot="1">
      <c r="A34" s="22"/>
      <c r="B34" s="42" t="s">
        <v>31</v>
      </c>
      <c r="C34" s="207"/>
      <c r="D34" s="207"/>
      <c r="E34" s="239"/>
      <c r="F34" s="208"/>
      <c r="G34" s="81"/>
      <c r="H34" s="215">
        <f>ROUND(H33,0)</f>
        <v>17</v>
      </c>
      <c r="I34" s="266"/>
      <c r="J34" s="267"/>
      <c r="K34" s="268"/>
      <c r="L34" s="215">
        <f>ROUND(L33,0)</f>
        <v>6</v>
      </c>
    </row>
    <row r="35" spans="1:12" ht="19.5" customHeight="1">
      <c r="A35" s="22"/>
      <c r="B35" s="45"/>
      <c r="C35" s="45"/>
      <c r="D35" s="45"/>
      <c r="E35" s="40"/>
      <c r="G35" s="46"/>
      <c r="H35" s="47"/>
      <c r="I35" s="48"/>
    </row>
    <row r="36" spans="1:12" ht="19.5" customHeight="1" thickBot="1">
      <c r="A36" s="15" t="s">
        <v>60</v>
      </c>
      <c r="B36" s="40"/>
      <c r="C36" s="40"/>
      <c r="D36" s="40"/>
      <c r="E36" s="40"/>
      <c r="G36" s="49"/>
      <c r="H36" s="47"/>
      <c r="I36" s="55"/>
    </row>
    <row r="37" spans="1:12" ht="19.5" customHeight="1" thickBot="1">
      <c r="A37" s="22"/>
      <c r="B37" s="54" t="s">
        <v>33</v>
      </c>
      <c r="C37" s="51"/>
      <c r="D37" s="51"/>
      <c r="E37" s="43"/>
      <c r="F37" s="112"/>
      <c r="G37" s="52">
        <f>(H34+L34)/3</f>
        <v>7.666666666666667</v>
      </c>
      <c r="H37" s="88">
        <f>IF(ROUND(G37,0)=0,1,ROUND(G37,0))</f>
        <v>8</v>
      </c>
    </row>
    <row r="38" spans="1:12" ht="19.5" customHeight="1" thickBot="1">
      <c r="A38" s="22"/>
      <c r="B38" s="53" t="s">
        <v>34</v>
      </c>
      <c r="C38" s="341"/>
      <c r="D38" s="341"/>
      <c r="E38" s="342"/>
      <c r="F38" s="177"/>
      <c r="G38" s="343">
        <f>(H34+L34)/5</f>
        <v>4.5999999999999996</v>
      </c>
      <c r="H38" s="344">
        <f>IF(ROUND(G38,0)=0,1,ROUND(G38,0))</f>
        <v>5</v>
      </c>
    </row>
    <row r="39" spans="1:12" ht="19.5" customHeight="1">
      <c r="A39" s="22"/>
      <c r="B39" s="40"/>
      <c r="C39" s="40"/>
      <c r="D39" s="40"/>
      <c r="E39" s="40"/>
      <c r="F39" s="46"/>
      <c r="G39" s="46"/>
      <c r="H39" s="55"/>
      <c r="I39" s="46"/>
    </row>
    <row r="40" spans="1:12" ht="19.5" customHeight="1" thickBot="1">
      <c r="A40" s="15" t="s">
        <v>62</v>
      </c>
      <c r="B40" s="40"/>
      <c r="C40" s="40"/>
      <c r="D40" s="40"/>
      <c r="E40" s="40"/>
      <c r="F40" s="46"/>
      <c r="G40" s="46"/>
      <c r="H40" s="46"/>
      <c r="I40" s="46"/>
    </row>
    <row r="41" spans="1:12" ht="19.5" customHeight="1" thickBot="1">
      <c r="B41" s="54"/>
      <c r="C41" s="56">
        <v>48860</v>
      </c>
      <c r="D41" s="51" t="s">
        <v>76</v>
      </c>
      <c r="E41" s="43"/>
      <c r="F41" s="209"/>
      <c r="G41" s="112"/>
      <c r="H41" s="92">
        <f>C41*H37</f>
        <v>390880</v>
      </c>
      <c r="I41" s="46"/>
    </row>
    <row r="42" spans="1:12" ht="19.5" customHeight="1" thickBot="1">
      <c r="B42" s="58"/>
      <c r="C42" s="59">
        <v>6110</v>
      </c>
      <c r="D42" s="60" t="s">
        <v>77</v>
      </c>
      <c r="E42" s="113"/>
      <c r="F42" s="210"/>
      <c r="G42" s="114"/>
      <c r="H42" s="94">
        <f>C42*H38</f>
        <v>30550</v>
      </c>
      <c r="I42" s="46"/>
    </row>
    <row r="43" spans="1:12" ht="19.5" customHeight="1" thickTop="1" thickBot="1">
      <c r="B43" s="62"/>
      <c r="C43" s="211" t="s">
        <v>85</v>
      </c>
      <c r="D43" s="64"/>
      <c r="E43" s="64"/>
      <c r="F43" s="65"/>
      <c r="G43" s="65"/>
      <c r="H43" s="96">
        <f>SUM(H41:H42)</f>
        <v>421430</v>
      </c>
      <c r="I43" s="46"/>
    </row>
    <row r="44" spans="1:12" ht="19.5" customHeight="1">
      <c r="B44" s="40"/>
      <c r="C44" s="40"/>
      <c r="D44" s="40"/>
      <c r="E44" s="40"/>
      <c r="F44" s="46"/>
      <c r="G44" s="46"/>
      <c r="H44" s="46"/>
      <c r="I44" s="46"/>
    </row>
    <row r="45" spans="1:12" ht="19.5" customHeight="1">
      <c r="B45" s="40"/>
      <c r="C45" s="40"/>
      <c r="D45" s="40"/>
      <c r="E45" s="40"/>
      <c r="F45" s="46"/>
      <c r="G45" s="46"/>
      <c r="H45" s="46"/>
      <c r="I45" s="46"/>
    </row>
    <row r="46" spans="1:12" ht="19.5" customHeight="1">
      <c r="B46" s="40"/>
      <c r="C46" s="40"/>
      <c r="D46" s="40"/>
      <c r="E46" s="40"/>
      <c r="F46" s="46"/>
      <c r="G46" s="46"/>
      <c r="H46" s="46"/>
      <c r="I46" s="46"/>
    </row>
    <row r="47" spans="1:12" ht="19.5" customHeight="1">
      <c r="B47" s="40"/>
      <c r="C47" s="40"/>
      <c r="D47" s="40"/>
      <c r="E47" s="40"/>
      <c r="F47" s="46"/>
      <c r="G47" s="46"/>
      <c r="H47" s="46"/>
      <c r="I47" s="46"/>
    </row>
    <row r="48" spans="1:12"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0">
    <mergeCell ref="B9:E9"/>
    <mergeCell ref="I30:J30"/>
    <mergeCell ref="B8:E8"/>
    <mergeCell ref="C3:D3"/>
    <mergeCell ref="G18:H18"/>
    <mergeCell ref="C13:D13"/>
    <mergeCell ref="C12:D12"/>
    <mergeCell ref="C11:D11"/>
    <mergeCell ref="C10:D10"/>
    <mergeCell ref="E3:H3"/>
    <mergeCell ref="B7:D7"/>
    <mergeCell ref="E17:H17"/>
    <mergeCell ref="C14:L14"/>
    <mergeCell ref="I17:L17"/>
    <mergeCell ref="K18:L18"/>
    <mergeCell ref="I31:J31"/>
    <mergeCell ref="C31:D31"/>
    <mergeCell ref="I27:J27"/>
    <mergeCell ref="I28:J28"/>
    <mergeCell ref="I29:J29"/>
  </mergeCells>
  <phoneticPr fontId="1"/>
  <dataValidations count="1">
    <dataValidation type="list" allowBlank="1" showInputMessage="1" showErrorMessage="1" sqref="I26 E22 E7 E26:E31">
      <formula1>"　,あり,なし"</formula1>
    </dataValidation>
  </dataValidations>
  <pageMargins left="0.92" right="0.56000000000000005" top="0.75" bottom="0.37" header="0.3" footer="0.3"/>
  <pageSetup paperSize="9" scale="84"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127"/>
  <sheetViews>
    <sheetView zoomScaleNormal="100" workbookViewId="0"/>
  </sheetViews>
  <sheetFormatPr defaultColWidth="9" defaultRowHeight="18.75"/>
  <cols>
    <col min="1" max="1" width="2.875" style="11" customWidth="1"/>
    <col min="2" max="2" width="3" style="9" customWidth="1"/>
    <col min="3" max="3" width="14.75" style="9" customWidth="1"/>
    <col min="4" max="4" width="28.25" style="9" customWidth="1"/>
    <col min="5" max="6" width="10" style="10" customWidth="1"/>
    <col min="7" max="7" width="0.75" style="10" customWidth="1"/>
    <col min="8" max="8" width="13.125" style="10" customWidth="1"/>
    <col min="9" max="9" width="10" style="139" customWidth="1"/>
    <col min="10" max="10" width="10" style="11" customWidth="1"/>
    <col min="11" max="11" width="0.5" style="11" customWidth="1"/>
    <col min="12" max="12" width="13.125" style="11" customWidth="1"/>
    <col min="13" max="16384" width="9" style="11"/>
  </cols>
  <sheetData>
    <row r="1" spans="1:12" s="8" customFormat="1" ht="31.5" customHeight="1" thickBot="1">
      <c r="A1" s="5" t="s">
        <v>35</v>
      </c>
      <c r="B1" s="6"/>
      <c r="C1" s="6"/>
      <c r="D1" s="6"/>
      <c r="E1" s="7"/>
      <c r="F1" s="7"/>
      <c r="G1" s="7"/>
      <c r="H1" s="7"/>
      <c r="I1" s="139"/>
    </row>
    <row r="2" spans="1:12" ht="19.5" customHeight="1" thickBot="1">
      <c r="A2" s="9"/>
      <c r="B2" s="400" t="s">
        <v>26</v>
      </c>
      <c r="C2" s="419"/>
      <c r="D2" s="361" t="s">
        <v>36</v>
      </c>
      <c r="E2" s="362"/>
      <c r="F2" s="362"/>
      <c r="G2" s="362"/>
      <c r="H2" s="363"/>
    </row>
    <row r="3" spans="1:12" ht="19.5" customHeight="1">
      <c r="A3" s="9"/>
      <c r="C3" s="12"/>
      <c r="D3" s="13"/>
      <c r="E3" s="13"/>
      <c r="F3" s="13"/>
      <c r="G3" s="13"/>
    </row>
    <row r="4" spans="1:12" ht="19.5" customHeight="1" thickBot="1">
      <c r="A4" s="14" t="s">
        <v>64</v>
      </c>
      <c r="E4" s="13"/>
      <c r="F4" s="13"/>
      <c r="G4" s="13"/>
    </row>
    <row r="5" spans="1:12" ht="33" customHeight="1" thickBot="1">
      <c r="A5" s="15"/>
      <c r="B5" s="369"/>
      <c r="C5" s="370"/>
      <c r="D5" s="370"/>
      <c r="E5" s="198" t="s">
        <v>101</v>
      </c>
      <c r="F5" s="140" t="s">
        <v>24</v>
      </c>
      <c r="G5" s="13"/>
      <c r="J5" s="140" t="s">
        <v>24</v>
      </c>
    </row>
    <row r="6" spans="1:12" ht="37.5" customHeight="1" thickBot="1">
      <c r="A6" s="15"/>
      <c r="B6" s="367" t="s">
        <v>97</v>
      </c>
      <c r="C6" s="368"/>
      <c r="D6" s="368"/>
      <c r="E6" s="281" t="s">
        <v>6</v>
      </c>
      <c r="F6" s="140" t="s">
        <v>100</v>
      </c>
      <c r="G6" s="13"/>
      <c r="J6" s="280" t="str">
        <f>IF(E6="あり","分園分を記入","入力不要")</f>
        <v>分園分を記入</v>
      </c>
    </row>
    <row r="7" spans="1:12" ht="19.5" customHeight="1" thickBot="1">
      <c r="A7" s="14"/>
      <c r="B7" s="367" t="s">
        <v>65</v>
      </c>
      <c r="C7" s="368"/>
      <c r="D7" s="368"/>
      <c r="E7" s="368"/>
      <c r="F7" s="187">
        <f>F8+F9</f>
        <v>290</v>
      </c>
      <c r="G7" s="13"/>
      <c r="J7" s="187">
        <f>J8+J9</f>
        <v>90</v>
      </c>
    </row>
    <row r="8" spans="1:12" ht="19.5" customHeight="1" thickBot="1">
      <c r="A8" s="14"/>
      <c r="B8" s="141"/>
      <c r="C8" s="368" t="s">
        <v>43</v>
      </c>
      <c r="D8" s="368"/>
      <c r="E8" s="368"/>
      <c r="F8" s="1">
        <v>200</v>
      </c>
      <c r="G8" s="13"/>
      <c r="J8" s="1">
        <v>50</v>
      </c>
    </row>
    <row r="9" spans="1:12" ht="19.5" customHeight="1" thickBot="1">
      <c r="A9" s="14"/>
      <c r="B9" s="141"/>
      <c r="C9" s="368" t="s">
        <v>44</v>
      </c>
      <c r="D9" s="368"/>
      <c r="E9" s="368"/>
      <c r="F9" s="1">
        <v>90</v>
      </c>
      <c r="G9" s="13"/>
      <c r="J9" s="1">
        <v>40</v>
      </c>
    </row>
    <row r="10" spans="1:12" ht="19.5" customHeight="1" thickBot="1">
      <c r="A10" s="14"/>
      <c r="B10" s="365" t="s">
        <v>75</v>
      </c>
      <c r="C10" s="366"/>
      <c r="D10" s="366"/>
      <c r="E10" s="366"/>
      <c r="F10" s="188">
        <f>F11+F12+F14+F15</f>
        <v>105</v>
      </c>
      <c r="G10" s="13"/>
      <c r="J10" s="188">
        <f>J11+J12+J14+J15</f>
        <v>90</v>
      </c>
    </row>
    <row r="11" spans="1:12" ht="19.5" customHeight="1">
      <c r="A11" s="14"/>
      <c r="B11" s="142"/>
      <c r="C11" s="355" t="s">
        <v>66</v>
      </c>
      <c r="D11" s="356"/>
      <c r="E11" s="143"/>
      <c r="F11" s="144">
        <v>40</v>
      </c>
      <c r="G11" s="13"/>
      <c r="J11" s="144">
        <v>40</v>
      </c>
    </row>
    <row r="12" spans="1:12" ht="19.5" customHeight="1">
      <c r="A12" s="14"/>
      <c r="B12" s="142"/>
      <c r="C12" s="355" t="s">
        <v>73</v>
      </c>
      <c r="D12" s="356"/>
      <c r="E12" s="143"/>
      <c r="F12" s="145">
        <v>35</v>
      </c>
      <c r="G12" s="13"/>
      <c r="J12" s="145">
        <v>30</v>
      </c>
    </row>
    <row r="13" spans="1:12" ht="19.5" customHeight="1">
      <c r="A13" s="14"/>
      <c r="B13" s="142"/>
      <c r="C13" s="146" t="s">
        <v>78</v>
      </c>
      <c r="D13" s="147"/>
      <c r="E13" s="143"/>
      <c r="F13" s="145">
        <v>10</v>
      </c>
      <c r="G13" s="13"/>
      <c r="J13" s="145">
        <v>10</v>
      </c>
    </row>
    <row r="14" spans="1:12" ht="19.5" customHeight="1">
      <c r="A14" s="14"/>
      <c r="B14" s="142"/>
      <c r="C14" s="356" t="s">
        <v>12</v>
      </c>
      <c r="D14" s="403"/>
      <c r="E14" s="143"/>
      <c r="F14" s="145">
        <v>20</v>
      </c>
      <c r="G14" s="13"/>
      <c r="J14" s="145">
        <v>10</v>
      </c>
    </row>
    <row r="15" spans="1:12" ht="19.5" customHeight="1" thickBot="1">
      <c r="A15" s="9"/>
      <c r="B15" s="148"/>
      <c r="C15" s="357" t="s">
        <v>13</v>
      </c>
      <c r="D15" s="358"/>
      <c r="E15" s="149"/>
      <c r="F15" s="150">
        <v>10</v>
      </c>
      <c r="G15" s="13"/>
      <c r="J15" s="150">
        <v>10</v>
      </c>
    </row>
    <row r="16" spans="1:12" ht="32.25" customHeight="1">
      <c r="A16" s="9"/>
      <c r="B16" s="305" t="s">
        <v>92</v>
      </c>
      <c r="C16" s="371" t="s">
        <v>103</v>
      </c>
      <c r="D16" s="371"/>
      <c r="E16" s="371"/>
      <c r="F16" s="371"/>
      <c r="G16" s="371"/>
      <c r="H16" s="371"/>
      <c r="I16" s="371"/>
      <c r="J16" s="371"/>
      <c r="K16" s="371"/>
      <c r="L16" s="371"/>
    </row>
    <row r="17" spans="1:12" ht="19.5" customHeight="1">
      <c r="A17" s="9"/>
      <c r="B17" s="151"/>
      <c r="C17" s="306"/>
      <c r="D17" s="306"/>
      <c r="E17" s="306"/>
      <c r="F17" s="306"/>
      <c r="G17" s="306"/>
      <c r="H17" s="306"/>
    </row>
    <row r="18" spans="1:12" ht="19.5" customHeight="1" thickBot="1">
      <c r="A18" s="14" t="s">
        <v>32</v>
      </c>
    </row>
    <row r="19" spans="1:12" ht="19.5" customHeight="1" thickBot="1">
      <c r="A19" s="14"/>
      <c r="E19" s="414" t="s">
        <v>99</v>
      </c>
      <c r="F19" s="415"/>
      <c r="G19" s="415"/>
      <c r="H19" s="416"/>
      <c r="I19" s="414" t="s">
        <v>102</v>
      </c>
      <c r="J19" s="415"/>
      <c r="K19" s="415"/>
      <c r="L19" s="416"/>
    </row>
    <row r="20" spans="1:12" ht="31.5" customHeight="1">
      <c r="B20" s="19"/>
      <c r="C20" s="152"/>
      <c r="D20" s="152"/>
      <c r="E20" s="296" t="s">
        <v>25</v>
      </c>
      <c r="F20" s="297" t="s">
        <v>24</v>
      </c>
      <c r="G20" s="410" t="s">
        <v>29</v>
      </c>
      <c r="H20" s="413"/>
      <c r="I20" s="298" t="s">
        <v>25</v>
      </c>
      <c r="J20" s="297" t="s">
        <v>24</v>
      </c>
      <c r="K20" s="410" t="s">
        <v>29</v>
      </c>
      <c r="L20" s="413"/>
    </row>
    <row r="21" spans="1:12" ht="17.25" customHeight="1">
      <c r="A21" s="22"/>
      <c r="B21" s="23" t="s">
        <v>10</v>
      </c>
      <c r="C21" s="97" t="s">
        <v>11</v>
      </c>
      <c r="D21" s="97"/>
      <c r="E21" s="288"/>
      <c r="F21" s="25"/>
      <c r="G21" s="66"/>
      <c r="H21" s="67"/>
      <c r="I21" s="24"/>
      <c r="J21" s="25"/>
      <c r="K21" s="66"/>
      <c r="L21" s="67"/>
    </row>
    <row r="22" spans="1:12" ht="17.25" customHeight="1">
      <c r="A22" s="22"/>
      <c r="B22" s="26"/>
      <c r="C22" s="153" t="s">
        <v>8</v>
      </c>
      <c r="D22" s="284"/>
      <c r="E22" s="289"/>
      <c r="F22" s="189">
        <f>F11</f>
        <v>40</v>
      </c>
      <c r="G22" s="115">
        <f>F22*1/30</f>
        <v>1.3333333333333333</v>
      </c>
      <c r="H22" s="116">
        <f>ROUNDDOWN(G22,1)</f>
        <v>1.3</v>
      </c>
      <c r="I22" s="154"/>
      <c r="J22" s="189">
        <f>IF(E6="あり",J11,0)</f>
        <v>40</v>
      </c>
      <c r="K22" s="115">
        <f>J22*1/30</f>
        <v>1.3333333333333333</v>
      </c>
      <c r="L22" s="116">
        <f>ROUNDDOWN(K22,1)</f>
        <v>1.3</v>
      </c>
    </row>
    <row r="23" spans="1:12" ht="17.25" customHeight="1">
      <c r="A23" s="22"/>
      <c r="B23" s="26"/>
      <c r="C23" s="155" t="s">
        <v>86</v>
      </c>
      <c r="D23" s="285"/>
      <c r="E23" s="290"/>
      <c r="F23" s="190">
        <f>F12</f>
        <v>35</v>
      </c>
      <c r="G23" s="68">
        <f>IF($E$24="あり",IF($E$25="あり",ROUNDDOWN(($F$12-$F$13)*1/15,1)+ROUNDDOWN($F$13*1/6,1),ROUNDDOWN($F$12*1/15,1)),IF($E$25="あり",ROUNDDOWN(($F$12-$F$13)*1/20,1)+ROUNDDOWN($F$13*1/6,1),ROUNDDOWN($F$12*1/20,1)))</f>
        <v>2.8</v>
      </c>
      <c r="H23" s="69">
        <f>ROUNDDOWN(G23,1)</f>
        <v>2.8</v>
      </c>
      <c r="I23" s="156"/>
      <c r="J23" s="189">
        <f>IF(E$6="あり",J12,0)</f>
        <v>30</v>
      </c>
      <c r="K23" s="68">
        <f>IF(E6="あり",IF($I$24="あり",IF($I$25="あり",ROUNDDOWN(($J$12-$J$13)*1/15,1)+ROUNDDOWN($J$13*1/6,1),ROUNDDOWN($J$12*1/15,1)),IF($I$25="あり",ROUNDDOWN(($J$12-$J$13)*1/20,1)+ROUNDDOWN($J$13*1/6,1),ROUNDDOWN($J$12*1/20,1))),0)</f>
        <v>2.6</v>
      </c>
      <c r="L23" s="69">
        <f>ROUNDDOWN(K23,1)</f>
        <v>2.6</v>
      </c>
    </row>
    <row r="24" spans="1:12" ht="17.25" customHeight="1">
      <c r="A24" s="22"/>
      <c r="B24" s="26"/>
      <c r="C24" s="157" t="s">
        <v>80</v>
      </c>
      <c r="D24" s="285"/>
      <c r="E24" s="275" t="s">
        <v>7</v>
      </c>
      <c r="F24" s="158"/>
      <c r="G24" s="193"/>
      <c r="H24" s="194"/>
      <c r="I24" s="309" t="str">
        <f>E24</f>
        <v>なし</v>
      </c>
      <c r="J24" s="158"/>
      <c r="K24" s="193"/>
      <c r="L24" s="194"/>
    </row>
    <row r="25" spans="1:12" ht="17.25" customHeight="1">
      <c r="A25" s="22"/>
      <c r="B25" s="26"/>
      <c r="C25" s="157" t="s">
        <v>81</v>
      </c>
      <c r="D25" s="285"/>
      <c r="E25" s="275" t="s">
        <v>6</v>
      </c>
      <c r="F25" s="158"/>
      <c r="G25" s="193"/>
      <c r="H25" s="194"/>
      <c r="I25" s="309" t="str">
        <f>E25</f>
        <v>あり</v>
      </c>
      <c r="J25" s="158"/>
      <c r="K25" s="193"/>
      <c r="L25" s="194"/>
    </row>
    <row r="26" spans="1:12" ht="17.25" customHeight="1">
      <c r="A26" s="22"/>
      <c r="B26" s="26"/>
      <c r="C26" s="159" t="s">
        <v>12</v>
      </c>
      <c r="D26" s="286"/>
      <c r="E26" s="273"/>
      <c r="F26" s="191">
        <f>F14</f>
        <v>20</v>
      </c>
      <c r="G26" s="121">
        <f>F26*1/6</f>
        <v>3.3333333333333335</v>
      </c>
      <c r="H26" s="122">
        <f>ROUNDDOWN(G26,1)</f>
        <v>3.3</v>
      </c>
      <c r="I26" s="273"/>
      <c r="J26" s="189">
        <f>IF(E$6="あり",J14,0)</f>
        <v>10</v>
      </c>
      <c r="K26" s="121">
        <f>J26*1/6</f>
        <v>1.6666666666666667</v>
      </c>
      <c r="L26" s="122">
        <f>ROUNDDOWN(K26,1)</f>
        <v>1.6</v>
      </c>
    </row>
    <row r="27" spans="1:12" ht="17.25" customHeight="1" thickBot="1">
      <c r="A27" s="22"/>
      <c r="B27" s="26"/>
      <c r="C27" s="161" t="s">
        <v>13</v>
      </c>
      <c r="D27" s="287"/>
      <c r="E27" s="259"/>
      <c r="F27" s="192">
        <f>F15</f>
        <v>10</v>
      </c>
      <c r="G27" s="70">
        <f>F27*1/3</f>
        <v>3.3333333333333335</v>
      </c>
      <c r="H27" s="71">
        <f>ROUNDDOWN(G27,1)</f>
        <v>3.3</v>
      </c>
      <c r="I27" s="259"/>
      <c r="J27" s="299">
        <f>IF(E$6="あり",J15,0)</f>
        <v>10</v>
      </c>
      <c r="K27" s="70">
        <f>J27*1/3</f>
        <v>3.3333333333333335</v>
      </c>
      <c r="L27" s="71">
        <f>ROUNDDOWN(K27,1)</f>
        <v>3.3</v>
      </c>
    </row>
    <row r="28" spans="1:12" ht="17.25" customHeight="1" thickTop="1">
      <c r="A28" s="22"/>
      <c r="B28" s="29"/>
      <c r="C28" s="104" t="s">
        <v>30</v>
      </c>
      <c r="D28" s="162"/>
      <c r="E28" s="291"/>
      <c r="F28" s="31"/>
      <c r="G28" s="72"/>
      <c r="H28" s="73">
        <f>ROUND(SUM(H22:H27),0)</f>
        <v>11</v>
      </c>
      <c r="I28" s="300"/>
      <c r="J28" s="31"/>
      <c r="K28" s="72"/>
      <c r="L28" s="73">
        <f>ROUND(SUM(L22:L27),0)</f>
        <v>9</v>
      </c>
    </row>
    <row r="29" spans="1:12" ht="17.25" customHeight="1">
      <c r="A29" s="22"/>
      <c r="B29" s="34" t="s">
        <v>114</v>
      </c>
      <c r="C29" s="163" t="s">
        <v>138</v>
      </c>
      <c r="D29" s="163"/>
      <c r="E29" s="292"/>
      <c r="F29" s="165"/>
      <c r="G29" s="74"/>
      <c r="H29" s="75">
        <f>IF(F9&lt;=90,1,0.8)</f>
        <v>1</v>
      </c>
      <c r="I29" s="164"/>
      <c r="J29" s="165"/>
      <c r="K29" s="74"/>
      <c r="L29" s="75">
        <f>IF(E6="あり",IF(J9&lt;=90,1,0.8),0)</f>
        <v>1</v>
      </c>
    </row>
    <row r="30" spans="1:12" ht="17.25" customHeight="1">
      <c r="A30" s="22"/>
      <c r="B30" s="311" t="s">
        <v>118</v>
      </c>
      <c r="C30" s="166" t="s">
        <v>39</v>
      </c>
      <c r="D30" s="166"/>
      <c r="E30" s="293"/>
      <c r="F30" s="33"/>
      <c r="G30" s="74"/>
      <c r="H30" s="75">
        <f>IF(F9&lt;=40,1,(IF(F9&lt;=150,2,3)))</f>
        <v>2</v>
      </c>
      <c r="I30" s="167"/>
      <c r="J30" s="33"/>
      <c r="K30" s="74"/>
      <c r="L30" s="75">
        <f>IF(E6="あり",IF(J9&lt;=40,1,(IF(J9&lt;=150,2,3))),0)</f>
        <v>1</v>
      </c>
    </row>
    <row r="31" spans="1:12" ht="17.25" customHeight="1">
      <c r="A31" s="22"/>
      <c r="B31" s="311" t="s">
        <v>115</v>
      </c>
      <c r="C31" s="166" t="s">
        <v>15</v>
      </c>
      <c r="D31" s="166"/>
      <c r="E31" s="278" t="s">
        <v>6</v>
      </c>
      <c r="F31" s="33"/>
      <c r="G31" s="74"/>
      <c r="H31" s="75">
        <f>IF(E31="あり",1.4,0)</f>
        <v>1.4</v>
      </c>
      <c r="I31" s="294" t="s">
        <v>6</v>
      </c>
      <c r="J31" s="307"/>
      <c r="K31" s="74"/>
      <c r="L31" s="75">
        <f>IF(E6="あり",IF(I31="あり",1.4,0),0)</f>
        <v>1.4</v>
      </c>
    </row>
    <row r="32" spans="1:12" ht="17.25" customHeight="1">
      <c r="A32" s="22"/>
      <c r="B32" s="311" t="s">
        <v>116</v>
      </c>
      <c r="C32" s="166" t="s">
        <v>40</v>
      </c>
      <c r="D32" s="166"/>
      <c r="E32" s="313" t="s">
        <v>6</v>
      </c>
      <c r="F32" s="168"/>
      <c r="G32" s="74"/>
      <c r="H32" s="75">
        <f>IF(E32="あり",1,0)</f>
        <v>1</v>
      </c>
      <c r="I32" s="398" t="str">
        <f>IF($E$6="あり","本園分で選択","－")</f>
        <v>本園分で選択</v>
      </c>
      <c r="J32" s="399"/>
      <c r="K32" s="301"/>
      <c r="L32" s="302"/>
    </row>
    <row r="33" spans="1:12" ht="17.25" customHeight="1" thickBot="1">
      <c r="A33" s="22"/>
      <c r="B33" s="311" t="s">
        <v>117</v>
      </c>
      <c r="C33" s="310" t="s">
        <v>110</v>
      </c>
      <c r="D33" s="310"/>
      <c r="E33" s="278" t="s">
        <v>6</v>
      </c>
      <c r="F33" s="312"/>
      <c r="G33" s="74"/>
      <c r="H33" s="75">
        <f>IF(E33="あり",0.8,0)</f>
        <v>0.8</v>
      </c>
      <c r="I33" s="398" t="str">
        <f>IF($E$6="あり","本園分で選択","－")</f>
        <v>本園分で選択</v>
      </c>
      <c r="J33" s="399"/>
      <c r="K33" s="301"/>
      <c r="L33" s="302"/>
    </row>
    <row r="34" spans="1:12" ht="17.25" customHeight="1" thickBot="1">
      <c r="A34" s="22"/>
      <c r="B34" s="311" t="s">
        <v>111</v>
      </c>
      <c r="C34" s="166" t="s">
        <v>1</v>
      </c>
      <c r="D34" s="166"/>
      <c r="E34" s="314" t="s">
        <v>6</v>
      </c>
      <c r="F34" s="1">
        <v>3</v>
      </c>
      <c r="G34" s="74"/>
      <c r="H34" s="75">
        <f>IF(E34="あり",F34,0)</f>
        <v>3</v>
      </c>
      <c r="I34" s="398" t="str">
        <f t="shared" ref="I34:I44" si="0">IF($E$6="あり","本園分で選択","－")</f>
        <v>本園分で選択</v>
      </c>
      <c r="J34" s="399"/>
      <c r="K34" s="301"/>
      <c r="L34" s="302"/>
    </row>
    <row r="35" spans="1:12" ht="17.25" customHeight="1">
      <c r="A35" s="22"/>
      <c r="B35" s="311" t="s">
        <v>112</v>
      </c>
      <c r="C35" s="166" t="s">
        <v>2</v>
      </c>
      <c r="D35" s="166"/>
      <c r="E35" s="278" t="s">
        <v>6</v>
      </c>
      <c r="F35" s="170"/>
      <c r="G35" s="74"/>
      <c r="H35" s="75">
        <f>IF(E35="あり",IF(F8&lt;=150,0.8,1.5),0)</f>
        <v>1.5</v>
      </c>
      <c r="I35" s="398" t="str">
        <f t="shared" si="0"/>
        <v>本園分で選択</v>
      </c>
      <c r="J35" s="399"/>
      <c r="K35" s="301"/>
      <c r="L35" s="302"/>
    </row>
    <row r="36" spans="1:12" ht="17.25" customHeight="1">
      <c r="A36" s="22"/>
      <c r="B36" s="324" t="s">
        <v>113</v>
      </c>
      <c r="C36" s="328" t="s">
        <v>139</v>
      </c>
      <c r="D36" s="339"/>
      <c r="E36" s="349" t="s">
        <v>6</v>
      </c>
      <c r="F36" s="107"/>
      <c r="G36" s="340"/>
      <c r="H36" s="350">
        <f>IF(E36="あり",IF(F8&lt;=150,2,3),0)</f>
        <v>3</v>
      </c>
      <c r="I36" s="417" t="str">
        <f t="shared" si="0"/>
        <v>本園分で選択</v>
      </c>
      <c r="J36" s="418"/>
      <c r="K36" s="325"/>
      <c r="L36" s="323"/>
    </row>
    <row r="37" spans="1:12" ht="17.25" customHeight="1">
      <c r="A37" s="22"/>
      <c r="B37" s="311" t="s">
        <v>119</v>
      </c>
      <c r="C37" s="166" t="s">
        <v>22</v>
      </c>
      <c r="D37" s="166"/>
      <c r="E37" s="278" t="s">
        <v>6</v>
      </c>
      <c r="F37" s="33"/>
      <c r="G37" s="74"/>
      <c r="H37" s="75">
        <f>IF(E37="あり",0.5,0)</f>
        <v>0.5</v>
      </c>
      <c r="I37" s="398" t="str">
        <f t="shared" si="0"/>
        <v>本園分で選択</v>
      </c>
      <c r="J37" s="399"/>
      <c r="K37" s="301"/>
      <c r="L37" s="302"/>
    </row>
    <row r="38" spans="1:12" ht="17.25" customHeight="1">
      <c r="A38" s="22"/>
      <c r="B38" s="311" t="s">
        <v>108</v>
      </c>
      <c r="C38" s="166" t="s">
        <v>38</v>
      </c>
      <c r="D38" s="166"/>
      <c r="E38" s="278" t="s">
        <v>6</v>
      </c>
      <c r="F38" s="33"/>
      <c r="G38" s="74"/>
      <c r="H38" s="75">
        <f>IF(E38="あり",0.8,0)</f>
        <v>0.8</v>
      </c>
      <c r="I38" s="398" t="str">
        <f t="shared" si="0"/>
        <v>本園分で選択</v>
      </c>
      <c r="J38" s="399"/>
      <c r="K38" s="301"/>
      <c r="L38" s="302"/>
    </row>
    <row r="39" spans="1:12" ht="17.25" customHeight="1">
      <c r="A39" s="22"/>
      <c r="B39" s="311" t="s">
        <v>120</v>
      </c>
      <c r="C39" s="166" t="s">
        <v>4</v>
      </c>
      <c r="D39" s="166"/>
      <c r="E39" s="278" t="s">
        <v>6</v>
      </c>
      <c r="F39" s="33"/>
      <c r="G39" s="74"/>
      <c r="H39" s="75">
        <f>IF(E39="あり",0.8,0)</f>
        <v>0.8</v>
      </c>
      <c r="I39" s="398" t="str">
        <f t="shared" si="0"/>
        <v>本園分で選択</v>
      </c>
      <c r="J39" s="399"/>
      <c r="K39" s="301"/>
      <c r="L39" s="302"/>
    </row>
    <row r="40" spans="1:12" ht="17.25" customHeight="1">
      <c r="A40" s="22"/>
      <c r="B40" s="311" t="s">
        <v>121</v>
      </c>
      <c r="C40" s="166" t="s">
        <v>41</v>
      </c>
      <c r="D40" s="166"/>
      <c r="E40" s="278" t="s">
        <v>6</v>
      </c>
      <c r="F40" s="33"/>
      <c r="G40" s="74"/>
      <c r="H40" s="75">
        <f>IF(E40="あり",0.8,0)</f>
        <v>0.8</v>
      </c>
      <c r="I40" s="398" t="str">
        <f t="shared" si="0"/>
        <v>本園分で選択</v>
      </c>
      <c r="J40" s="399"/>
      <c r="K40" s="301"/>
      <c r="L40" s="302"/>
    </row>
    <row r="41" spans="1:12" ht="17.25" customHeight="1">
      <c r="A41" s="22"/>
      <c r="B41" s="316" t="s">
        <v>129</v>
      </c>
      <c r="C41" s="368" t="s">
        <v>124</v>
      </c>
      <c r="D41" s="397"/>
      <c r="E41" s="278" t="s">
        <v>6</v>
      </c>
      <c r="F41" s="168"/>
      <c r="G41" s="74"/>
      <c r="H41" s="75">
        <f>IF(E41="あり",0.6,0)</f>
        <v>0.6</v>
      </c>
      <c r="I41" s="317"/>
      <c r="J41" s="318"/>
      <c r="K41" s="301"/>
      <c r="L41" s="302"/>
    </row>
    <row r="42" spans="1:12" ht="17.25" customHeight="1" thickBot="1">
      <c r="A42" s="22"/>
      <c r="B42" s="311" t="s">
        <v>126</v>
      </c>
      <c r="C42" s="163" t="s">
        <v>42</v>
      </c>
      <c r="D42" s="163"/>
      <c r="E42" s="278" t="s">
        <v>6</v>
      </c>
      <c r="F42" s="168"/>
      <c r="G42" s="74"/>
      <c r="H42" s="76">
        <f>IF(E42="あり",-1,0)</f>
        <v>-1</v>
      </c>
      <c r="I42" s="398" t="str">
        <f t="shared" si="0"/>
        <v>本園分で選択</v>
      </c>
      <c r="J42" s="399"/>
      <c r="K42" s="301"/>
      <c r="L42" s="303"/>
    </row>
    <row r="43" spans="1:12" ht="44.25" customHeight="1" thickBot="1">
      <c r="A43" s="22"/>
      <c r="B43" s="311" t="s">
        <v>127</v>
      </c>
      <c r="C43" s="412" t="s">
        <v>79</v>
      </c>
      <c r="D43" s="412"/>
      <c r="E43" s="294" t="s">
        <v>93</v>
      </c>
      <c r="F43" s="171">
        <v>2</v>
      </c>
      <c r="G43" s="195"/>
      <c r="H43" s="76">
        <f>IF(E43="該当",-F43,0)</f>
        <v>-2</v>
      </c>
      <c r="I43" s="398" t="str">
        <f t="shared" si="0"/>
        <v>本園分で選択</v>
      </c>
      <c r="J43" s="399"/>
      <c r="K43" s="304"/>
      <c r="L43" s="303"/>
    </row>
    <row r="44" spans="1:12" ht="24" customHeight="1" thickBot="1">
      <c r="A44" s="22"/>
      <c r="B44" s="311" t="s">
        <v>128</v>
      </c>
      <c r="C44" s="163" t="s">
        <v>87</v>
      </c>
      <c r="D44" s="163"/>
      <c r="E44" s="294" t="s">
        <v>93</v>
      </c>
      <c r="F44" s="171">
        <v>2</v>
      </c>
      <c r="G44" s="195"/>
      <c r="H44" s="76">
        <f>IF(E44="該当",-F44,0)</f>
        <v>-2</v>
      </c>
      <c r="I44" s="398" t="str">
        <f t="shared" si="0"/>
        <v>本園分で選択</v>
      </c>
      <c r="J44" s="399"/>
      <c r="K44" s="304"/>
      <c r="L44" s="303"/>
    </row>
    <row r="45" spans="1:12" ht="24" customHeight="1" thickBot="1">
      <c r="A45" s="172"/>
      <c r="B45" s="173" t="s">
        <v>74</v>
      </c>
      <c r="C45" s="174"/>
      <c r="D45" s="174"/>
      <c r="E45" s="295"/>
      <c r="F45" s="176"/>
      <c r="G45" s="196">
        <f>F8+F9</f>
        <v>290</v>
      </c>
      <c r="H45" s="78">
        <f>IF(G45&lt;=90,1.4,2.2)</f>
        <v>2.2000000000000002</v>
      </c>
      <c r="I45" s="175"/>
      <c r="J45" s="176"/>
      <c r="K45" s="196">
        <f>IF(E6="あり",J8+J9,0)</f>
        <v>90</v>
      </c>
      <c r="L45" s="78">
        <f>IF(E6="あり",IF(K45&lt;=90,1.4,2.2),0)</f>
        <v>1.4</v>
      </c>
    </row>
    <row r="46" spans="1:12" ht="24" customHeight="1" thickTop="1" thickBot="1">
      <c r="A46" s="22"/>
      <c r="B46" s="39" t="s">
        <v>9</v>
      </c>
      <c r="C46" s="40"/>
      <c r="D46" s="40"/>
      <c r="E46" s="274"/>
      <c r="F46" s="41"/>
      <c r="G46" s="79"/>
      <c r="H46" s="80">
        <f>SUM(H28:H45)</f>
        <v>25.400000000000002</v>
      </c>
      <c r="I46" s="40"/>
      <c r="J46" s="41"/>
      <c r="K46" s="79"/>
      <c r="L46" s="80">
        <f>SUM(L28:L45)</f>
        <v>13.8</v>
      </c>
    </row>
    <row r="47" spans="1:12" ht="24" customHeight="1" thickBot="1">
      <c r="A47" s="22"/>
      <c r="B47" s="42" t="s">
        <v>31</v>
      </c>
      <c r="C47" s="43"/>
      <c r="D47" s="43"/>
      <c r="E47" s="239"/>
      <c r="F47" s="44"/>
      <c r="G47" s="81"/>
      <c r="H47" s="215">
        <f>ROUND(H46,0)</f>
        <v>25</v>
      </c>
      <c r="I47" s="43"/>
      <c r="J47" s="44"/>
      <c r="K47" s="81"/>
      <c r="L47" s="215">
        <f>ROUND(L46,0)</f>
        <v>14</v>
      </c>
    </row>
    <row r="48" spans="1:12" ht="12" customHeight="1">
      <c r="A48" s="22"/>
      <c r="B48" s="40"/>
      <c r="C48" s="40"/>
      <c r="D48" s="40"/>
      <c r="E48" s="46"/>
      <c r="F48" s="46"/>
      <c r="G48" s="55"/>
      <c r="H48" s="46"/>
    </row>
    <row r="49" spans="1:8" ht="21.75" customHeight="1" thickBot="1">
      <c r="A49" s="15" t="s">
        <v>60</v>
      </c>
      <c r="B49" s="40"/>
      <c r="C49" s="40"/>
      <c r="D49" s="40"/>
      <c r="E49" s="40"/>
      <c r="G49" s="49"/>
      <c r="H49" s="47"/>
    </row>
    <row r="50" spans="1:8" ht="21.75" customHeight="1" thickBot="1">
      <c r="A50" s="22"/>
      <c r="B50" s="54" t="s">
        <v>33</v>
      </c>
      <c r="C50" s="51"/>
      <c r="D50" s="51"/>
      <c r="E50" s="43"/>
      <c r="F50" s="112"/>
      <c r="G50" s="52">
        <f>(H47+L47)/3</f>
        <v>13</v>
      </c>
      <c r="H50" s="88">
        <f>IF(ROUND(G50,0)=0,1,ROUND(G50,0))</f>
        <v>13</v>
      </c>
    </row>
    <row r="51" spans="1:8" ht="21.75" customHeight="1" thickBot="1">
      <c r="A51" s="22"/>
      <c r="B51" s="53" t="s">
        <v>34</v>
      </c>
      <c r="C51" s="341"/>
      <c r="D51" s="341"/>
      <c r="E51" s="342"/>
      <c r="F51" s="177"/>
      <c r="G51" s="343">
        <f>(H47+L47)/5</f>
        <v>7.8</v>
      </c>
      <c r="H51" s="344">
        <f>IF(ROUND(G51,0)=0,1,ROUND(G51,0))</f>
        <v>8</v>
      </c>
    </row>
    <row r="52" spans="1:8" ht="21.75" customHeight="1">
      <c r="A52" s="22"/>
      <c r="B52" s="40"/>
      <c r="C52" s="40"/>
      <c r="D52" s="40"/>
      <c r="E52" s="40"/>
      <c r="F52" s="46"/>
      <c r="G52" s="46"/>
      <c r="H52" s="55"/>
    </row>
    <row r="53" spans="1:8" ht="21.75" customHeight="1" thickBot="1">
      <c r="A53" s="15" t="s">
        <v>62</v>
      </c>
      <c r="B53" s="40"/>
      <c r="C53" s="40"/>
      <c r="D53" s="40"/>
      <c r="E53" s="40"/>
      <c r="F53" s="46"/>
      <c r="G53" s="46"/>
      <c r="H53" s="46"/>
    </row>
    <row r="54" spans="1:8" ht="21.75" customHeight="1" thickBot="1">
      <c r="B54" s="178"/>
      <c r="C54" s="56">
        <v>50000</v>
      </c>
      <c r="D54" s="56" t="s">
        <v>76</v>
      </c>
      <c r="E54" s="56"/>
      <c r="F54" s="179"/>
      <c r="G54" s="180"/>
      <c r="H54" s="92">
        <f>C54*H50</f>
        <v>650000</v>
      </c>
    </row>
    <row r="55" spans="1:8" ht="21.75" customHeight="1" thickBot="1">
      <c r="B55" s="181"/>
      <c r="C55" s="59">
        <v>6250</v>
      </c>
      <c r="D55" s="59" t="s">
        <v>77</v>
      </c>
      <c r="E55" s="59"/>
      <c r="F55" s="182"/>
      <c r="G55" s="183"/>
      <c r="H55" s="94">
        <f>C55*H51</f>
        <v>50000</v>
      </c>
    </row>
    <row r="56" spans="1:8" ht="21.75" customHeight="1" thickTop="1" thickBot="1">
      <c r="B56" s="184"/>
      <c r="C56" s="185" t="s">
        <v>85</v>
      </c>
      <c r="D56" s="186"/>
      <c r="E56" s="186"/>
      <c r="F56" s="186"/>
      <c r="G56" s="186"/>
      <c r="H56" s="96">
        <f>SUM(H54:H55)</f>
        <v>700000</v>
      </c>
    </row>
    <row r="57" spans="1:8" ht="33.75" customHeight="1"/>
    <row r="58" spans="1:8" ht="33.75" customHeight="1"/>
    <row r="59" spans="1:8" ht="33.75" customHeight="1"/>
    <row r="60" spans="1:8" ht="33.75" customHeight="1"/>
    <row r="61" spans="1:8" ht="33.75" customHeight="1"/>
    <row r="62" spans="1:8" ht="33.75" customHeight="1"/>
    <row r="63" spans="1:8" ht="33.75" customHeight="1"/>
    <row r="64" spans="1:8" ht="33.75" customHeight="1"/>
    <row r="65" ht="33.75" customHeight="1"/>
    <row r="66" ht="33.7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31">
    <mergeCell ref="C41:D41"/>
    <mergeCell ref="I36:J36"/>
    <mergeCell ref="B2:C2"/>
    <mergeCell ref="D2:H2"/>
    <mergeCell ref="B5:D5"/>
    <mergeCell ref="B6:D6"/>
    <mergeCell ref="I34:J34"/>
    <mergeCell ref="I33:J33"/>
    <mergeCell ref="I40:J40"/>
    <mergeCell ref="C43:D43"/>
    <mergeCell ref="G20:H20"/>
    <mergeCell ref="B7:E7"/>
    <mergeCell ref="B10:E10"/>
    <mergeCell ref="C11:D11"/>
    <mergeCell ref="C12:D12"/>
    <mergeCell ref="C14:D14"/>
    <mergeCell ref="C15:D15"/>
    <mergeCell ref="C9:E9"/>
    <mergeCell ref="C8:E8"/>
    <mergeCell ref="C16:L16"/>
    <mergeCell ref="E19:H19"/>
    <mergeCell ref="I19:L19"/>
    <mergeCell ref="K20:L20"/>
    <mergeCell ref="I32:J32"/>
    <mergeCell ref="I42:J42"/>
    <mergeCell ref="I43:J43"/>
    <mergeCell ref="I44:J44"/>
    <mergeCell ref="I35:J35"/>
    <mergeCell ref="I37:J37"/>
    <mergeCell ref="I38:J38"/>
    <mergeCell ref="I39:J39"/>
  </mergeCells>
  <phoneticPr fontId="1"/>
  <dataValidations count="2">
    <dataValidation type="list" allowBlank="1" showInputMessage="1" showErrorMessage="1" sqref="E24:E25 E45 I31 E6 I24:I25 I45 E31:E42">
      <formula1>"　,あり,なし"</formula1>
    </dataValidation>
    <dataValidation type="list" allowBlank="1" showInputMessage="1" showErrorMessage="1" sqref="E43:E44">
      <formula1>"　,該当,非該当"</formula1>
    </dataValidation>
  </dataValidations>
  <pageMargins left="0.9055118110236221" right="0.55118110236220474" top="0.53" bottom="0.19685039370078741" header="0.31496062992125984" footer="0.19685039370078741"/>
  <pageSetup paperSize="9" scale="73"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103"/>
  <sheetViews>
    <sheetView tabSelected="1" zoomScaleNormal="100" workbookViewId="0"/>
  </sheetViews>
  <sheetFormatPr defaultColWidth="9" defaultRowHeight="18.75"/>
  <cols>
    <col min="1" max="1" width="2.875" style="11" customWidth="1"/>
    <col min="2" max="2" width="3" style="9" customWidth="1"/>
    <col min="3" max="3" width="16.375" style="9" customWidth="1"/>
    <col min="4" max="4" width="25.5" style="9" customWidth="1"/>
    <col min="5" max="5" width="8" style="9" customWidth="1"/>
    <col min="6" max="6" width="8" style="10" customWidth="1"/>
    <col min="7" max="7" width="0.25" style="10" customWidth="1"/>
    <col min="8" max="8" width="13.8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46</v>
      </c>
    </row>
    <row r="3" spans="1:10" ht="30.75" customHeight="1">
      <c r="A3" s="5" t="s">
        <v>82</v>
      </c>
    </row>
    <row r="4" spans="1:10" ht="21.75" customHeight="1" thickBot="1">
      <c r="A4" s="5"/>
    </row>
    <row r="5" spans="1:10" ht="19.5" customHeight="1" thickBot="1">
      <c r="A5" s="9"/>
      <c r="B5" s="400" t="s">
        <v>26</v>
      </c>
      <c r="C5" s="400"/>
      <c r="D5" s="361" t="s">
        <v>27</v>
      </c>
      <c r="E5" s="362"/>
      <c r="F5" s="362"/>
      <c r="G5" s="362"/>
      <c r="H5" s="363"/>
    </row>
    <row r="6" spans="1:10" ht="19.5" customHeight="1">
      <c r="A6" s="9"/>
      <c r="C6" s="12"/>
      <c r="D6" s="12"/>
      <c r="E6" s="13"/>
      <c r="F6" s="13"/>
      <c r="G6" s="13"/>
      <c r="H6" s="13"/>
    </row>
    <row r="7" spans="1:10" ht="19.5" customHeight="1" thickBot="1">
      <c r="A7" s="14" t="s">
        <v>32</v>
      </c>
    </row>
    <row r="8" spans="1:10" ht="33.75" customHeight="1">
      <c r="B8" s="367"/>
      <c r="C8" s="368"/>
      <c r="D8" s="374"/>
      <c r="E8" s="20" t="s">
        <v>25</v>
      </c>
      <c r="F8" s="21" t="s">
        <v>24</v>
      </c>
      <c r="G8" s="401" t="s">
        <v>29</v>
      </c>
      <c r="H8" s="427"/>
    </row>
    <row r="9" spans="1:10" ht="24" customHeight="1" thickBot="1">
      <c r="A9" s="22"/>
      <c r="B9" s="23" t="s">
        <v>10</v>
      </c>
      <c r="C9" s="97" t="s">
        <v>11</v>
      </c>
      <c r="D9" s="97"/>
      <c r="E9" s="24"/>
      <c r="F9" s="25"/>
      <c r="G9" s="66"/>
      <c r="H9" s="67"/>
    </row>
    <row r="10" spans="1:10" ht="28.5" customHeight="1" thickBot="1">
      <c r="A10" s="22"/>
      <c r="B10" s="26"/>
      <c r="C10" s="420" t="s">
        <v>105</v>
      </c>
      <c r="D10" s="421"/>
      <c r="E10" s="154"/>
      <c r="F10" s="1">
        <v>1</v>
      </c>
      <c r="G10" s="115">
        <f>F10*1/30</f>
        <v>3.3333333333333333E-2</v>
      </c>
      <c r="H10" s="116">
        <f>ROUNDDOWN(G10,1)</f>
        <v>0</v>
      </c>
      <c r="J10" s="28"/>
    </row>
    <row r="11" spans="1:10" ht="28.5" customHeight="1" thickBot="1">
      <c r="A11" s="22"/>
      <c r="B11" s="26"/>
      <c r="C11" s="422" t="s">
        <v>106</v>
      </c>
      <c r="D11" s="423"/>
      <c r="E11" s="27"/>
      <c r="F11" s="1">
        <v>5</v>
      </c>
      <c r="G11" s="68">
        <f>F11*1/20</f>
        <v>0.25</v>
      </c>
      <c r="H11" s="69">
        <f>ROUNDDOWN(G11,1)</f>
        <v>0.2</v>
      </c>
      <c r="J11" s="28"/>
    </row>
    <row r="12" spans="1:10" ht="28.5" customHeight="1" thickBot="1">
      <c r="A12" s="22"/>
      <c r="B12" s="26"/>
      <c r="C12" s="422" t="s">
        <v>104</v>
      </c>
      <c r="D12" s="423"/>
      <c r="E12" s="27"/>
      <c r="F12" s="1">
        <v>10</v>
      </c>
      <c r="G12" s="68">
        <f>F12*1/6</f>
        <v>1.6666666666666667</v>
      </c>
      <c r="H12" s="69">
        <f>ROUNDDOWN(G12,1)</f>
        <v>1.6</v>
      </c>
      <c r="J12" s="28"/>
    </row>
    <row r="13" spans="1:10" ht="28.5" customHeight="1" thickBot="1">
      <c r="A13" s="22"/>
      <c r="B13" s="26"/>
      <c r="C13" s="422" t="s">
        <v>94</v>
      </c>
      <c r="D13" s="434"/>
      <c r="E13" s="27"/>
      <c r="F13" s="1">
        <v>4</v>
      </c>
      <c r="G13" s="68">
        <f>F13*1/3</f>
        <v>1.3333333333333333</v>
      </c>
      <c r="H13" s="69">
        <f>ROUNDDOWN(G13,1)</f>
        <v>1.3</v>
      </c>
      <c r="J13" s="28"/>
    </row>
    <row r="14" spans="1:10" ht="24" customHeight="1" thickBot="1">
      <c r="A14" s="22"/>
      <c r="B14" s="26"/>
      <c r="C14" s="435" t="s">
        <v>49</v>
      </c>
      <c r="D14" s="434"/>
      <c r="E14" s="131" t="s">
        <v>6</v>
      </c>
      <c r="F14" s="1">
        <v>6</v>
      </c>
      <c r="G14" s="68">
        <f>IF(E14="あり",F14/2,0)</f>
        <v>3</v>
      </c>
      <c r="H14" s="69">
        <f>ROUNDDOWN(G14,1)</f>
        <v>3</v>
      </c>
      <c r="J14" s="28"/>
    </row>
    <row r="15" spans="1:10" ht="24" customHeight="1" thickBot="1">
      <c r="A15" s="22"/>
      <c r="B15" s="29"/>
      <c r="C15" s="432" t="s">
        <v>47</v>
      </c>
      <c r="D15" s="433"/>
      <c r="E15" s="132"/>
      <c r="F15" s="133"/>
      <c r="G15" s="137"/>
      <c r="H15" s="138">
        <v>1</v>
      </c>
      <c r="J15" s="28"/>
    </row>
    <row r="16" spans="1:10" ht="24" customHeight="1" thickTop="1">
      <c r="A16" s="22"/>
      <c r="B16" s="29"/>
      <c r="C16" s="430" t="s">
        <v>30</v>
      </c>
      <c r="D16" s="431"/>
      <c r="E16" s="30"/>
      <c r="F16" s="31"/>
      <c r="G16" s="72"/>
      <c r="H16" s="73">
        <f>ROUND(SUM(H10:H15),0)</f>
        <v>7</v>
      </c>
      <c r="J16" s="28"/>
    </row>
    <row r="17" spans="1:9" ht="24" customHeight="1">
      <c r="A17" s="22"/>
      <c r="B17" s="32" t="s">
        <v>16</v>
      </c>
      <c r="C17" s="368" t="s">
        <v>15</v>
      </c>
      <c r="D17" s="374"/>
      <c r="E17" s="4" t="s">
        <v>6</v>
      </c>
      <c r="F17" s="33"/>
      <c r="G17" s="74"/>
      <c r="H17" s="75">
        <f>IF(E17="あり",0.4,0)</f>
        <v>0.4</v>
      </c>
    </row>
    <row r="18" spans="1:9" ht="24" customHeight="1">
      <c r="A18" s="22"/>
      <c r="B18" s="32" t="s">
        <v>17</v>
      </c>
      <c r="C18" s="368" t="s">
        <v>22</v>
      </c>
      <c r="D18" s="374"/>
      <c r="E18" s="4" t="s">
        <v>6</v>
      </c>
      <c r="F18" s="33"/>
      <c r="G18" s="74"/>
      <c r="H18" s="75">
        <f>IF(E18="あり",0.5,0)</f>
        <v>0.5</v>
      </c>
    </row>
    <row r="19" spans="1:9" ht="24" customHeight="1">
      <c r="A19" s="22"/>
      <c r="B19" s="32" t="s">
        <v>37</v>
      </c>
      <c r="C19" s="315" t="s">
        <v>124</v>
      </c>
      <c r="D19" s="319"/>
      <c r="E19" s="4" t="s">
        <v>6</v>
      </c>
      <c r="F19" s="33"/>
      <c r="G19" s="74"/>
      <c r="H19" s="75">
        <f>IF(E19="あり",0.6,0)</f>
        <v>0.6</v>
      </c>
    </row>
    <row r="20" spans="1:9" ht="27.75" customHeight="1">
      <c r="A20" s="22"/>
      <c r="B20" s="34" t="s">
        <v>116</v>
      </c>
      <c r="C20" s="428" t="s">
        <v>89</v>
      </c>
      <c r="D20" s="429"/>
      <c r="E20" s="4" t="s">
        <v>6</v>
      </c>
      <c r="F20" s="33"/>
      <c r="G20" s="74"/>
      <c r="H20" s="76">
        <f>IF(E20="あり",-1,0)</f>
        <v>-1</v>
      </c>
    </row>
    <row r="21" spans="1:9" ht="27.75" customHeight="1" thickBot="1">
      <c r="A21" s="22"/>
      <c r="B21" s="35" t="s">
        <v>48</v>
      </c>
      <c r="C21" s="36"/>
      <c r="D21" s="36"/>
      <c r="E21" s="37"/>
      <c r="F21" s="38"/>
      <c r="G21" s="77"/>
      <c r="H21" s="128">
        <v>1.3</v>
      </c>
    </row>
    <row r="22" spans="1:9" ht="24" customHeight="1" thickTop="1" thickBot="1">
      <c r="A22" s="22"/>
      <c r="B22" s="39" t="s">
        <v>9</v>
      </c>
      <c r="C22" s="40"/>
      <c r="D22" s="40"/>
      <c r="E22" s="40"/>
      <c r="F22" s="41"/>
      <c r="G22" s="79"/>
      <c r="H22" s="80">
        <f>SUM(H16:H21)</f>
        <v>8.8000000000000007</v>
      </c>
    </row>
    <row r="23" spans="1:9" ht="24" customHeight="1" thickBot="1">
      <c r="A23" s="22"/>
      <c r="B23" s="134" t="s">
        <v>31</v>
      </c>
      <c r="C23" s="135"/>
      <c r="D23" s="135"/>
      <c r="E23" s="135"/>
      <c r="F23" s="136"/>
      <c r="G23" s="81"/>
      <c r="H23" s="215">
        <f>ROUND(H22,0)</f>
        <v>9</v>
      </c>
    </row>
    <row r="24" spans="1:9" ht="24" customHeight="1">
      <c r="A24" s="22"/>
      <c r="B24" s="45"/>
      <c r="C24" s="40"/>
      <c r="D24" s="40"/>
      <c r="E24" s="40"/>
      <c r="F24" s="46"/>
      <c r="G24" s="47"/>
      <c r="H24" s="48"/>
      <c r="I24" s="46"/>
    </row>
    <row r="25" spans="1:9" ht="33.75" customHeight="1" thickBot="1">
      <c r="A25" s="15" t="s">
        <v>60</v>
      </c>
      <c r="B25" s="40"/>
      <c r="C25" s="40"/>
      <c r="D25" s="40"/>
      <c r="E25" s="40"/>
      <c r="F25" s="40"/>
      <c r="H25" s="49"/>
      <c r="I25" s="47"/>
    </row>
    <row r="26" spans="1:9" ht="25.5" customHeight="1" thickBot="1">
      <c r="A26" s="22"/>
      <c r="B26" s="424" t="s">
        <v>33</v>
      </c>
      <c r="C26" s="425"/>
      <c r="D26" s="425"/>
      <c r="E26" s="425"/>
      <c r="F26" s="426"/>
      <c r="G26" s="52">
        <f>H23/3</f>
        <v>3</v>
      </c>
      <c r="H26" s="88">
        <f>IF(ROUND(G26,0)=0,1,ROUND(G26,0))</f>
        <v>3</v>
      </c>
      <c r="I26" s="11"/>
    </row>
    <row r="27" spans="1:9" ht="25.5" customHeight="1" thickBot="1">
      <c r="A27" s="22"/>
      <c r="B27" s="387" t="s">
        <v>34</v>
      </c>
      <c r="C27" s="388"/>
      <c r="D27" s="388"/>
      <c r="E27" s="388"/>
      <c r="F27" s="389"/>
      <c r="G27" s="52">
        <f>H23/5</f>
        <v>1.8</v>
      </c>
      <c r="H27" s="88">
        <f>IF(ROUND(G27,0)=0,1,ROUND(G27,0))</f>
        <v>2</v>
      </c>
      <c r="I27" s="11"/>
    </row>
    <row r="28" spans="1:9" ht="25.5" customHeight="1">
      <c r="A28" s="22"/>
      <c r="B28" s="40"/>
      <c r="C28" s="40"/>
      <c r="D28" s="40"/>
      <c r="E28" s="40"/>
      <c r="F28" s="40"/>
      <c r="G28" s="46"/>
      <c r="H28" s="55"/>
      <c r="I28" s="11"/>
    </row>
    <row r="29" spans="1:9" ht="25.5" customHeight="1" thickBot="1">
      <c r="A29" s="15" t="s">
        <v>62</v>
      </c>
      <c r="B29" s="40"/>
      <c r="C29" s="40"/>
      <c r="D29" s="40"/>
      <c r="E29" s="40"/>
      <c r="F29" s="40"/>
      <c r="G29" s="46"/>
      <c r="H29" s="46"/>
      <c r="I29" s="11"/>
    </row>
    <row r="30" spans="1:9" ht="25.5" customHeight="1" thickBot="1">
      <c r="B30" s="54"/>
      <c r="C30" s="56">
        <v>48860</v>
      </c>
      <c r="D30" s="51" t="s">
        <v>76</v>
      </c>
      <c r="E30" s="51"/>
      <c r="F30" s="51"/>
      <c r="G30" s="57"/>
      <c r="H30" s="92">
        <f>C30*H26</f>
        <v>146580</v>
      </c>
      <c r="I30" s="11"/>
    </row>
    <row r="31" spans="1:9" ht="25.5" customHeight="1" thickBot="1">
      <c r="B31" s="58"/>
      <c r="C31" s="59">
        <v>6110</v>
      </c>
      <c r="D31" s="60" t="s">
        <v>77</v>
      </c>
      <c r="E31" s="60"/>
      <c r="F31" s="60"/>
      <c r="G31" s="61"/>
      <c r="H31" s="94">
        <f>C31*H27</f>
        <v>12220</v>
      </c>
      <c r="I31" s="11"/>
    </row>
    <row r="32" spans="1:9" ht="25.5" customHeight="1" thickTop="1" thickBot="1">
      <c r="B32" s="62"/>
      <c r="C32" s="63" t="s">
        <v>85</v>
      </c>
      <c r="D32" s="63"/>
      <c r="E32" s="65"/>
      <c r="F32" s="65"/>
      <c r="G32" s="65"/>
      <c r="H32" s="96">
        <f>SUM(H30:H31)</f>
        <v>158800</v>
      </c>
    </row>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mergeCells count="16">
    <mergeCell ref="B5:C5"/>
    <mergeCell ref="C10:D10"/>
    <mergeCell ref="C11:D11"/>
    <mergeCell ref="D5:H5"/>
    <mergeCell ref="B27:F27"/>
    <mergeCell ref="B26:F26"/>
    <mergeCell ref="G8:H8"/>
    <mergeCell ref="C20:D20"/>
    <mergeCell ref="C18:D18"/>
    <mergeCell ref="C17:D17"/>
    <mergeCell ref="C16:D16"/>
    <mergeCell ref="C15:D15"/>
    <mergeCell ref="C13:D13"/>
    <mergeCell ref="C14:D14"/>
    <mergeCell ref="C12:D12"/>
    <mergeCell ref="B8:D8"/>
  </mergeCells>
  <phoneticPr fontId="1"/>
  <dataValidations count="1">
    <dataValidation type="list" allowBlank="1" showInputMessage="1" showErrorMessage="1" sqref="E14 E17:E20">
      <formula1>"　,あり,なし"</formula1>
    </dataValidation>
  </dataValidations>
  <pageMargins left="0.92" right="0.56000000000000005" top="0.75" bottom="0.75" header="0.3" footer="0.3"/>
  <pageSetup paperSize="9" scale="9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100"/>
  <sheetViews>
    <sheetView zoomScaleNormal="100" workbookViewId="0"/>
  </sheetViews>
  <sheetFormatPr defaultColWidth="9" defaultRowHeight="18.75"/>
  <cols>
    <col min="1" max="1" width="2.875" style="11" customWidth="1"/>
    <col min="2" max="2" width="3" style="9" customWidth="1"/>
    <col min="3" max="3" width="13.125" style="9" customWidth="1"/>
    <col min="4" max="4" width="23.375" style="9" customWidth="1"/>
    <col min="5" max="5" width="8" style="9" customWidth="1"/>
    <col min="6" max="6" width="9.375" style="10" customWidth="1"/>
    <col min="7" max="7" width="0.5" style="10" customWidth="1"/>
    <col min="8" max="8" width="13.75" style="10" customWidth="1"/>
    <col min="9" max="9" width="9" style="10"/>
    <col min="10" max="16384" width="9" style="11"/>
  </cols>
  <sheetData>
    <row r="1" spans="1:10" s="8" customFormat="1" ht="25.5" customHeight="1">
      <c r="A1" s="5" t="s">
        <v>45</v>
      </c>
      <c r="B1" s="6"/>
      <c r="C1" s="6"/>
      <c r="D1" s="6"/>
      <c r="E1" s="6"/>
      <c r="F1" s="7"/>
      <c r="G1" s="7"/>
      <c r="H1" s="7"/>
      <c r="I1" s="7"/>
    </row>
    <row r="2" spans="1:10" ht="25.5" customHeight="1">
      <c r="A2" s="5" t="s">
        <v>50</v>
      </c>
    </row>
    <row r="3" spans="1:10" ht="25.5" customHeight="1" thickBot="1">
      <c r="A3" s="5"/>
    </row>
    <row r="4" spans="1:10" ht="25.5" customHeight="1" thickBot="1">
      <c r="A4" s="9"/>
      <c r="B4" s="400" t="s">
        <v>26</v>
      </c>
      <c r="C4" s="400"/>
      <c r="D4" s="361" t="s">
        <v>27</v>
      </c>
      <c r="E4" s="362"/>
      <c r="F4" s="362"/>
      <c r="G4" s="362"/>
      <c r="H4" s="363"/>
    </row>
    <row r="5" spans="1:10" ht="25.5" customHeight="1">
      <c r="A5" s="9"/>
      <c r="C5" s="12"/>
      <c r="D5" s="12"/>
      <c r="E5" s="13"/>
      <c r="F5" s="13"/>
      <c r="G5" s="13"/>
      <c r="H5" s="13"/>
    </row>
    <row r="6" spans="1:10" ht="25.5" customHeight="1" thickBot="1">
      <c r="A6" s="14" t="s">
        <v>32</v>
      </c>
    </row>
    <row r="7" spans="1:10" ht="28.5" customHeight="1">
      <c r="B7" s="369"/>
      <c r="C7" s="370"/>
      <c r="D7" s="443"/>
      <c r="E7" s="20" t="s">
        <v>25</v>
      </c>
      <c r="F7" s="21" t="s">
        <v>24</v>
      </c>
      <c r="G7" s="401" t="s">
        <v>29</v>
      </c>
      <c r="H7" s="427"/>
    </row>
    <row r="8" spans="1:10" ht="25.5" customHeight="1" thickBot="1">
      <c r="A8" s="22"/>
      <c r="B8" s="23" t="s">
        <v>10</v>
      </c>
      <c r="C8" s="97" t="s">
        <v>11</v>
      </c>
      <c r="D8" s="97"/>
      <c r="E8" s="24"/>
      <c r="F8" s="25"/>
      <c r="G8" s="66"/>
      <c r="H8" s="67"/>
    </row>
    <row r="9" spans="1:10" ht="25.5" customHeight="1" thickBot="1">
      <c r="A9" s="22"/>
      <c r="B9" s="26"/>
      <c r="C9" s="420" t="s">
        <v>107</v>
      </c>
      <c r="D9" s="421"/>
      <c r="E9" s="98"/>
      <c r="F9" s="1">
        <v>15</v>
      </c>
      <c r="G9" s="115">
        <f>IF(E10="あり",F9/5,F9/3)</f>
        <v>3</v>
      </c>
      <c r="H9" s="116">
        <f>IF(E11="なし",ROUND(G9,1),0)</f>
        <v>0</v>
      </c>
      <c r="J9" s="28"/>
    </row>
    <row r="10" spans="1:10" ht="25.5" customHeight="1">
      <c r="A10" s="22"/>
      <c r="B10" s="26"/>
      <c r="C10" s="436" t="s">
        <v>83</v>
      </c>
      <c r="D10" s="437"/>
      <c r="E10" s="99" t="s">
        <v>6</v>
      </c>
      <c r="F10" s="31"/>
      <c r="G10" s="117"/>
      <c r="H10" s="118"/>
      <c r="J10" s="28"/>
    </row>
    <row r="11" spans="1:10" ht="25.5" customHeight="1" thickBot="1">
      <c r="A11" s="22"/>
      <c r="B11" s="26"/>
      <c r="C11" s="441" t="s">
        <v>53</v>
      </c>
      <c r="D11" s="442"/>
      <c r="E11" s="100" t="s">
        <v>6</v>
      </c>
      <c r="F11" s="101"/>
      <c r="G11" s="119"/>
      <c r="H11" s="120"/>
      <c r="I11" s="102"/>
      <c r="J11" s="28"/>
    </row>
    <row r="12" spans="1:10" ht="25.5" customHeight="1" thickBot="1">
      <c r="A12" s="22"/>
      <c r="B12" s="26"/>
      <c r="C12" s="435" t="s">
        <v>51</v>
      </c>
      <c r="D12" s="434"/>
      <c r="E12" s="27"/>
      <c r="F12" s="1">
        <v>7</v>
      </c>
      <c r="G12" s="121">
        <f>IF(E11="あり",F12/5,0)</f>
        <v>1.4</v>
      </c>
      <c r="H12" s="122">
        <f>ROUNDDOWN(G12,1)</f>
        <v>1.4</v>
      </c>
      <c r="J12" s="28"/>
    </row>
    <row r="13" spans="1:10" ht="25.5" customHeight="1" thickBot="1">
      <c r="A13" s="22"/>
      <c r="B13" s="26"/>
      <c r="C13" s="432" t="s">
        <v>52</v>
      </c>
      <c r="D13" s="433"/>
      <c r="E13" s="103"/>
      <c r="F13" s="1">
        <v>3</v>
      </c>
      <c r="G13" s="70">
        <f>IF(E11="あり",F13/2,0)</f>
        <v>1.5</v>
      </c>
      <c r="H13" s="71">
        <f>ROUNDDOWN(G13,1)</f>
        <v>1.5</v>
      </c>
      <c r="J13" s="28"/>
    </row>
    <row r="14" spans="1:10" ht="25.5" customHeight="1" thickTop="1">
      <c r="A14" s="22"/>
      <c r="B14" s="29"/>
      <c r="C14" s="104" t="s">
        <v>30</v>
      </c>
      <c r="D14" s="104"/>
      <c r="E14" s="30"/>
      <c r="F14" s="31"/>
      <c r="G14" s="123"/>
      <c r="H14" s="73">
        <f>ROUND(SUM(H9:H13),0)</f>
        <v>3</v>
      </c>
      <c r="J14" s="28"/>
    </row>
    <row r="15" spans="1:10" ht="25.5" customHeight="1">
      <c r="A15" s="22"/>
      <c r="B15" s="105" t="s">
        <v>16</v>
      </c>
      <c r="C15" s="446" t="s">
        <v>15</v>
      </c>
      <c r="D15" s="442"/>
      <c r="E15" s="106" t="s">
        <v>6</v>
      </c>
      <c r="F15" s="107"/>
      <c r="G15" s="124"/>
      <c r="H15" s="125">
        <f>IF(E15="あり",0.4,0)</f>
        <v>0.4</v>
      </c>
    </row>
    <row r="16" spans="1:10" ht="25.5" customHeight="1">
      <c r="A16" s="22"/>
      <c r="B16" s="29" t="s">
        <v>17</v>
      </c>
      <c r="C16" s="17" t="s">
        <v>124</v>
      </c>
      <c r="D16" s="326"/>
      <c r="E16" s="106" t="s">
        <v>6</v>
      </c>
      <c r="F16" s="312"/>
      <c r="G16" s="129"/>
      <c r="H16" s="125">
        <f>IF(E16="あり",0.6,0)</f>
        <v>0.6</v>
      </c>
    </row>
    <row r="17" spans="1:9" ht="25.5" customHeight="1">
      <c r="A17" s="22"/>
      <c r="B17" s="108" t="s">
        <v>130</v>
      </c>
      <c r="C17" s="444" t="s">
        <v>89</v>
      </c>
      <c r="D17" s="445"/>
      <c r="E17" s="99" t="s">
        <v>6</v>
      </c>
      <c r="F17" s="109"/>
      <c r="G17" s="126"/>
      <c r="H17" s="127">
        <f>IF(E17="あり",-1,0)</f>
        <v>-1</v>
      </c>
    </row>
    <row r="18" spans="1:9" ht="25.5" customHeight="1" thickBot="1">
      <c r="A18" s="22"/>
      <c r="B18" s="438" t="s">
        <v>48</v>
      </c>
      <c r="C18" s="439"/>
      <c r="D18" s="439"/>
      <c r="E18" s="439"/>
      <c r="F18" s="440"/>
      <c r="G18" s="77"/>
      <c r="H18" s="128">
        <v>1.6</v>
      </c>
    </row>
    <row r="19" spans="1:9" ht="25.5" customHeight="1" thickTop="1" thickBot="1">
      <c r="A19" s="22"/>
      <c r="B19" s="39" t="s">
        <v>9</v>
      </c>
      <c r="C19" s="40"/>
      <c r="D19" s="40"/>
      <c r="E19" s="40"/>
      <c r="F19" s="41"/>
      <c r="G19" s="129"/>
      <c r="H19" s="80">
        <f>SUM(H14:H18)</f>
        <v>4.5999999999999996</v>
      </c>
    </row>
    <row r="20" spans="1:9" ht="25.5" customHeight="1" thickBot="1">
      <c r="A20" s="22"/>
      <c r="B20" s="42" t="s">
        <v>31</v>
      </c>
      <c r="C20" s="43"/>
      <c r="D20" s="43"/>
      <c r="E20" s="43"/>
      <c r="F20" s="44"/>
      <c r="G20" s="130"/>
      <c r="H20" s="82">
        <f>ROUND(H19,0)</f>
        <v>5</v>
      </c>
    </row>
    <row r="21" spans="1:9" ht="25.5" customHeight="1">
      <c r="A21" s="22"/>
      <c r="B21" s="45"/>
      <c r="C21" s="40"/>
      <c r="D21" s="40"/>
      <c r="E21" s="40"/>
      <c r="F21" s="46"/>
      <c r="G21" s="110"/>
      <c r="H21" s="48"/>
      <c r="I21" s="46"/>
    </row>
    <row r="22" spans="1:9" ht="25.5" customHeight="1" thickBot="1">
      <c r="A22" s="15" t="s">
        <v>60</v>
      </c>
      <c r="B22" s="40"/>
      <c r="C22" s="40"/>
      <c r="D22" s="40"/>
      <c r="E22" s="40"/>
      <c r="F22" s="40"/>
      <c r="G22" s="111"/>
      <c r="H22" s="49"/>
      <c r="I22" s="47"/>
    </row>
    <row r="23" spans="1:9" ht="25.5" customHeight="1" thickBot="1">
      <c r="A23" s="22"/>
      <c r="B23" s="50" t="s">
        <v>33</v>
      </c>
      <c r="C23" s="51"/>
      <c r="D23" s="51"/>
      <c r="E23" s="51"/>
      <c r="F23" s="43"/>
      <c r="G23" s="52">
        <f>H20/3</f>
        <v>1.6666666666666667</v>
      </c>
      <c r="H23" s="88">
        <f>IF(ROUND(G23,0)=0,1,ROUND(G23,0))</f>
        <v>2</v>
      </c>
      <c r="I23" s="11"/>
    </row>
    <row r="24" spans="1:9" ht="25.5" customHeight="1" thickBot="1">
      <c r="A24" s="22"/>
      <c r="B24" s="54" t="s">
        <v>34</v>
      </c>
      <c r="C24" s="51"/>
      <c r="D24" s="51"/>
      <c r="E24" s="51"/>
      <c r="F24" s="43"/>
      <c r="G24" s="52">
        <f>H20/5</f>
        <v>1</v>
      </c>
      <c r="H24" s="88">
        <f>IF(ROUND(G24,0)=0,1,ROUND(G24,0))</f>
        <v>1</v>
      </c>
      <c r="I24" s="11"/>
    </row>
    <row r="25" spans="1:9" ht="25.5" customHeight="1">
      <c r="A25" s="22"/>
      <c r="B25" s="40"/>
      <c r="C25" s="40"/>
      <c r="D25" s="40"/>
      <c r="E25" s="40"/>
      <c r="F25" s="40"/>
      <c r="G25" s="46"/>
      <c r="H25" s="55"/>
      <c r="I25" s="11"/>
    </row>
    <row r="26" spans="1:9" ht="25.5" customHeight="1" thickBot="1">
      <c r="A26" s="15" t="s">
        <v>62</v>
      </c>
      <c r="B26" s="40"/>
      <c r="C26" s="40"/>
      <c r="D26" s="40"/>
      <c r="E26" s="40"/>
      <c r="F26" s="40"/>
      <c r="G26" s="46"/>
      <c r="H26" s="46"/>
      <c r="I26" s="11"/>
    </row>
    <row r="27" spans="1:9" ht="25.5" customHeight="1" thickBot="1">
      <c r="B27" s="54"/>
      <c r="C27" s="56">
        <v>48860</v>
      </c>
      <c r="D27" s="51" t="s">
        <v>76</v>
      </c>
      <c r="E27" s="51"/>
      <c r="F27" s="43"/>
      <c r="G27" s="112"/>
      <c r="H27" s="92">
        <f>C27*H23</f>
        <v>97720</v>
      </c>
      <c r="I27" s="11"/>
    </row>
    <row r="28" spans="1:9" ht="25.5" customHeight="1" thickBot="1">
      <c r="B28" s="58"/>
      <c r="C28" s="59">
        <v>6110</v>
      </c>
      <c r="D28" s="60" t="s">
        <v>77</v>
      </c>
      <c r="E28" s="60"/>
      <c r="F28" s="113"/>
      <c r="G28" s="114"/>
      <c r="H28" s="94">
        <f>C28*H24</f>
        <v>6110</v>
      </c>
      <c r="I28" s="11"/>
    </row>
    <row r="29" spans="1:9" ht="25.5" customHeight="1" thickTop="1" thickBot="1">
      <c r="B29" s="62"/>
      <c r="C29" s="63" t="s">
        <v>85</v>
      </c>
      <c r="D29" s="63"/>
      <c r="E29" s="64"/>
      <c r="F29" s="64"/>
      <c r="G29" s="65"/>
      <c r="H29" s="96">
        <f>SUM(H27:H28)</f>
        <v>103830</v>
      </c>
      <c r="I29" s="11"/>
    </row>
    <row r="30" spans="1:9" ht="33.75" customHeight="1"/>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sheetData>
  <mergeCells count="12">
    <mergeCell ref="B18:F18"/>
    <mergeCell ref="C11:D11"/>
    <mergeCell ref="B7:D7"/>
    <mergeCell ref="C12:D12"/>
    <mergeCell ref="C13:D13"/>
    <mergeCell ref="C17:D17"/>
    <mergeCell ref="C15:D15"/>
    <mergeCell ref="B4:C4"/>
    <mergeCell ref="D4:H4"/>
    <mergeCell ref="G7:H7"/>
    <mergeCell ref="C9:D9"/>
    <mergeCell ref="C10:D10"/>
  </mergeCells>
  <phoneticPr fontId="1"/>
  <dataValidations count="1">
    <dataValidation type="list" allowBlank="1" showInputMessage="1" showErrorMessage="1" sqref="E10:E11 E15:E17">
      <formula1>"　,あり,なし"</formula1>
    </dataValidation>
  </dataValidations>
  <pageMargins left="0.92" right="0.56000000000000005"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105"/>
  <sheetViews>
    <sheetView zoomScaleNormal="100" workbookViewId="0"/>
  </sheetViews>
  <sheetFormatPr defaultColWidth="9" defaultRowHeight="18.75"/>
  <cols>
    <col min="1" max="1" width="2.875" style="11" customWidth="1"/>
    <col min="2" max="2" width="3" style="9" customWidth="1"/>
    <col min="3" max="3" width="17.75" style="9" customWidth="1"/>
    <col min="4" max="4" width="22.625" style="9" customWidth="1"/>
    <col min="5" max="5" width="8" style="9" customWidth="1"/>
    <col min="6" max="6" width="8" style="10" customWidth="1"/>
    <col min="7" max="7" width="0.375" style="10" customWidth="1"/>
    <col min="8" max="8" width="14.3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84</v>
      </c>
    </row>
    <row r="3" spans="1:10" ht="21.75" customHeight="1" thickBot="1">
      <c r="A3" s="5"/>
    </row>
    <row r="4" spans="1:10" ht="19.5" customHeight="1" thickBot="1">
      <c r="A4" s="9"/>
      <c r="B4" s="400" t="s">
        <v>26</v>
      </c>
      <c r="C4" s="400"/>
      <c r="D4" s="361" t="s">
        <v>27</v>
      </c>
      <c r="E4" s="362"/>
      <c r="F4" s="362"/>
      <c r="G4" s="362"/>
      <c r="H4" s="363"/>
    </row>
    <row r="5" spans="1:10" ht="19.5" customHeight="1">
      <c r="A5" s="9"/>
      <c r="C5" s="12"/>
      <c r="D5" s="12"/>
      <c r="E5" s="13"/>
      <c r="F5" s="13"/>
      <c r="G5" s="13"/>
      <c r="H5" s="13"/>
    </row>
    <row r="6" spans="1:10" ht="19.5" customHeight="1" thickBot="1">
      <c r="A6" s="14" t="s">
        <v>64</v>
      </c>
      <c r="E6" s="13"/>
      <c r="F6" s="13"/>
      <c r="G6" s="13"/>
      <c r="H6" s="13"/>
    </row>
    <row r="7" spans="1:10" ht="35.25" customHeight="1" thickBot="1">
      <c r="A7" s="15"/>
      <c r="B7" s="369"/>
      <c r="C7" s="370"/>
      <c r="D7" s="370"/>
      <c r="E7" s="370"/>
      <c r="F7" s="16" t="s">
        <v>24</v>
      </c>
      <c r="G7" s="13"/>
      <c r="H7" s="13"/>
      <c r="I7" s="13"/>
      <c r="J7" s="10"/>
    </row>
    <row r="8" spans="1:10" ht="19.5" customHeight="1" thickBot="1">
      <c r="A8" s="14"/>
      <c r="B8" s="367" t="s">
        <v>65</v>
      </c>
      <c r="C8" s="368"/>
      <c r="D8" s="368"/>
      <c r="E8" s="368"/>
      <c r="F8" s="1">
        <v>31</v>
      </c>
      <c r="G8" s="13"/>
      <c r="H8" s="13"/>
      <c r="I8" s="13"/>
      <c r="J8" s="10"/>
    </row>
    <row r="9" spans="1:10" ht="19.5" customHeight="1">
      <c r="A9" s="14"/>
      <c r="B9" s="17"/>
      <c r="C9" s="17"/>
      <c r="D9" s="17"/>
      <c r="E9" s="17"/>
      <c r="F9" s="18"/>
      <c r="G9" s="13"/>
      <c r="H9" s="13"/>
      <c r="I9" s="13"/>
      <c r="J9" s="10"/>
    </row>
    <row r="10" spans="1:10" ht="19.5" customHeight="1" thickBot="1">
      <c r="A10" s="14" t="s">
        <v>32</v>
      </c>
    </row>
    <row r="11" spans="1:10" ht="33.75" customHeight="1">
      <c r="B11" s="19"/>
      <c r="C11" s="368"/>
      <c r="D11" s="374"/>
      <c r="E11" s="20" t="s">
        <v>25</v>
      </c>
      <c r="F11" s="21" t="s">
        <v>24</v>
      </c>
      <c r="G11" s="447" t="s">
        <v>29</v>
      </c>
      <c r="H11" s="448"/>
    </row>
    <row r="12" spans="1:10" ht="24" customHeight="1" thickBot="1">
      <c r="A12" s="22"/>
      <c r="B12" s="23" t="s">
        <v>10</v>
      </c>
      <c r="C12" s="366" t="s">
        <v>11</v>
      </c>
      <c r="D12" s="449"/>
      <c r="E12" s="24"/>
      <c r="F12" s="25"/>
      <c r="G12" s="66"/>
      <c r="H12" s="67"/>
    </row>
    <row r="13" spans="1:10" ht="33.75" customHeight="1" thickBot="1">
      <c r="A13" s="22"/>
      <c r="B13" s="29"/>
      <c r="C13" s="420" t="s">
        <v>105</v>
      </c>
      <c r="D13" s="421"/>
      <c r="E13" s="154"/>
      <c r="F13" s="1">
        <v>1</v>
      </c>
      <c r="G13" s="115">
        <f>F13*1/30</f>
        <v>3.3333333333333333E-2</v>
      </c>
      <c r="H13" s="116">
        <f>ROUNDDOWN(G13,1)</f>
        <v>0</v>
      </c>
    </row>
    <row r="14" spans="1:10" ht="33.75" customHeight="1" thickBot="1">
      <c r="A14" s="22"/>
      <c r="B14" s="29"/>
      <c r="C14" s="422" t="s">
        <v>106</v>
      </c>
      <c r="D14" s="423"/>
      <c r="E14" s="27"/>
      <c r="F14" s="1">
        <v>2</v>
      </c>
      <c r="G14" s="68">
        <f>F14*1/20</f>
        <v>0.1</v>
      </c>
      <c r="H14" s="69">
        <f>ROUNDDOWN(G14,1)</f>
        <v>0.1</v>
      </c>
    </row>
    <row r="15" spans="1:10" ht="33" customHeight="1" thickBot="1">
      <c r="A15" s="22"/>
      <c r="B15" s="26"/>
      <c r="C15" s="422" t="s">
        <v>90</v>
      </c>
      <c r="D15" s="423"/>
      <c r="E15" s="27"/>
      <c r="F15" s="1">
        <v>10</v>
      </c>
      <c r="G15" s="68">
        <f>F15*1/6</f>
        <v>1.6666666666666667</v>
      </c>
      <c r="H15" s="69">
        <f>ROUNDDOWN(G15,1)</f>
        <v>1.6</v>
      </c>
      <c r="J15" s="28"/>
    </row>
    <row r="16" spans="1:10" ht="30.75" customHeight="1" thickBot="1">
      <c r="A16" s="22"/>
      <c r="B16" s="26"/>
      <c r="C16" s="422" t="s">
        <v>94</v>
      </c>
      <c r="D16" s="434"/>
      <c r="E16" s="27"/>
      <c r="F16" s="1">
        <v>4</v>
      </c>
      <c r="G16" s="68">
        <f>F16*1/3</f>
        <v>1.3333333333333333</v>
      </c>
      <c r="H16" s="69">
        <f>ROUNDDOWN(G16,1)</f>
        <v>1.3</v>
      </c>
      <c r="J16" s="28"/>
    </row>
    <row r="17" spans="1:10" ht="30.75" customHeight="1" thickBot="1">
      <c r="A17" s="22"/>
      <c r="B17" s="26"/>
      <c r="C17" s="432" t="s">
        <v>49</v>
      </c>
      <c r="D17" s="433"/>
      <c r="E17" s="3" t="s">
        <v>7</v>
      </c>
      <c r="F17" s="2">
        <v>5</v>
      </c>
      <c r="G17" s="70">
        <f>IF(E17="あり",F17/2,0)</f>
        <v>0</v>
      </c>
      <c r="H17" s="71">
        <f>ROUNDDOWN(G17,1)</f>
        <v>0</v>
      </c>
      <c r="J17" s="28"/>
    </row>
    <row r="18" spans="1:10" ht="24" customHeight="1" thickTop="1">
      <c r="A18" s="22"/>
      <c r="B18" s="29"/>
      <c r="C18" s="450" t="s">
        <v>30</v>
      </c>
      <c r="D18" s="451"/>
      <c r="E18" s="30"/>
      <c r="F18" s="31"/>
      <c r="G18" s="72"/>
      <c r="H18" s="73">
        <f>ROUND(SUM(H13:H17),0)</f>
        <v>3</v>
      </c>
      <c r="J18" s="28"/>
    </row>
    <row r="19" spans="1:10" ht="24" customHeight="1">
      <c r="A19" s="22"/>
      <c r="B19" s="32" t="s">
        <v>16</v>
      </c>
      <c r="C19" s="368" t="s">
        <v>15</v>
      </c>
      <c r="D19" s="374"/>
      <c r="E19" s="4" t="s">
        <v>6</v>
      </c>
      <c r="F19" s="33"/>
      <c r="G19" s="74"/>
      <c r="H19" s="75">
        <f>IF(E19="あり",1.4,0)</f>
        <v>1.4</v>
      </c>
    </row>
    <row r="20" spans="1:10" ht="24" customHeight="1">
      <c r="A20" s="22"/>
      <c r="B20" s="32" t="s">
        <v>17</v>
      </c>
      <c r="C20" s="368" t="s">
        <v>22</v>
      </c>
      <c r="D20" s="374"/>
      <c r="E20" s="4" t="s">
        <v>6</v>
      </c>
      <c r="F20" s="33"/>
      <c r="G20" s="74"/>
      <c r="H20" s="75">
        <f>IF(E20="あり",0.5,0)</f>
        <v>0.5</v>
      </c>
    </row>
    <row r="21" spans="1:10" ht="24" customHeight="1">
      <c r="A21" s="22"/>
      <c r="B21" s="32" t="s">
        <v>131</v>
      </c>
      <c r="C21" s="315" t="s">
        <v>124</v>
      </c>
      <c r="D21" s="319"/>
      <c r="E21" s="4" t="s">
        <v>6</v>
      </c>
      <c r="F21" s="33"/>
      <c r="G21" s="74"/>
      <c r="H21" s="75">
        <f>IF(E21="あり",0.6,0)</f>
        <v>0.6</v>
      </c>
    </row>
    <row r="22" spans="1:10" ht="27.75" customHeight="1">
      <c r="A22" s="22"/>
      <c r="B22" s="34" t="s">
        <v>116</v>
      </c>
      <c r="C22" s="428" t="s">
        <v>89</v>
      </c>
      <c r="D22" s="429"/>
      <c r="E22" s="4" t="s">
        <v>6</v>
      </c>
      <c r="F22" s="33"/>
      <c r="G22" s="74"/>
      <c r="H22" s="76">
        <f>IF(E22="あり",IF(F8&lt;=40,-1,-2),0)</f>
        <v>-1</v>
      </c>
    </row>
    <row r="23" spans="1:10" ht="27.75" customHeight="1" thickBot="1">
      <c r="A23" s="22"/>
      <c r="B23" s="35" t="s">
        <v>91</v>
      </c>
      <c r="C23" s="36"/>
      <c r="D23" s="36"/>
      <c r="E23" s="37"/>
      <c r="F23" s="38"/>
      <c r="G23" s="77"/>
      <c r="H23" s="78">
        <f>IF(F8&lt;=40,1.5,2.5)</f>
        <v>1.5</v>
      </c>
    </row>
    <row r="24" spans="1:10" ht="24" customHeight="1" thickTop="1" thickBot="1">
      <c r="A24" s="22"/>
      <c r="B24" s="39" t="s">
        <v>9</v>
      </c>
      <c r="C24" s="40"/>
      <c r="D24" s="40"/>
      <c r="E24" s="40"/>
      <c r="F24" s="41"/>
      <c r="G24" s="79"/>
      <c r="H24" s="80">
        <f>SUM(H18:H23)</f>
        <v>6</v>
      </c>
    </row>
    <row r="25" spans="1:10" ht="24" customHeight="1" thickBot="1">
      <c r="A25" s="22"/>
      <c r="B25" s="42" t="s">
        <v>31</v>
      </c>
      <c r="C25" s="43"/>
      <c r="D25" s="43"/>
      <c r="E25" s="43"/>
      <c r="F25" s="44"/>
      <c r="G25" s="81"/>
      <c r="H25" s="215">
        <f>ROUND(H24,0)</f>
        <v>6</v>
      </c>
    </row>
    <row r="26" spans="1:10" ht="24" customHeight="1">
      <c r="A26" s="22"/>
      <c r="B26" s="45"/>
      <c r="C26" s="40"/>
      <c r="D26" s="40"/>
      <c r="E26" s="40"/>
      <c r="F26" s="46"/>
      <c r="G26" s="83"/>
      <c r="H26" s="84"/>
      <c r="I26" s="46"/>
    </row>
    <row r="27" spans="1:10" ht="33.75" customHeight="1" thickBot="1">
      <c r="A27" s="15" t="s">
        <v>60</v>
      </c>
      <c r="B27" s="40"/>
      <c r="C27" s="40"/>
      <c r="D27" s="40"/>
      <c r="E27" s="40"/>
      <c r="F27" s="40"/>
      <c r="G27" s="85"/>
      <c r="H27" s="86"/>
      <c r="I27" s="47"/>
    </row>
    <row r="28" spans="1:10" ht="25.5" customHeight="1" thickBot="1">
      <c r="A28" s="22"/>
      <c r="B28" s="50" t="s">
        <v>33</v>
      </c>
      <c r="C28" s="51"/>
      <c r="D28" s="51"/>
      <c r="E28" s="51"/>
      <c r="F28" s="43"/>
      <c r="G28" s="87">
        <f>H25/3</f>
        <v>2</v>
      </c>
      <c r="H28" s="88">
        <f>IF(ROUND(G28,0)=0,1,ROUND(G28,0))</f>
        <v>2</v>
      </c>
      <c r="I28" s="11"/>
    </row>
    <row r="29" spans="1:10" ht="25.5" customHeight="1" thickBot="1">
      <c r="A29" s="22"/>
      <c r="B29" s="54" t="s">
        <v>34</v>
      </c>
      <c r="C29" s="51"/>
      <c r="D29" s="51"/>
      <c r="E29" s="51"/>
      <c r="F29" s="43"/>
      <c r="G29" s="87">
        <f>H25/5</f>
        <v>1.2</v>
      </c>
      <c r="H29" s="88">
        <f>IF(ROUND(G29,0)=0,1,ROUND(G29,0))</f>
        <v>1</v>
      </c>
      <c r="I29" s="11"/>
    </row>
    <row r="30" spans="1:10" ht="25.5" customHeight="1">
      <c r="A30" s="22"/>
      <c r="B30" s="40"/>
      <c r="C30" s="40"/>
      <c r="D30" s="40"/>
      <c r="E30" s="40"/>
      <c r="F30" s="40"/>
      <c r="G30" s="89"/>
      <c r="H30" s="90"/>
      <c r="I30" s="11"/>
    </row>
    <row r="31" spans="1:10" ht="25.5" customHeight="1" thickBot="1">
      <c r="A31" s="15" t="s">
        <v>62</v>
      </c>
      <c r="B31" s="40"/>
      <c r="C31" s="40"/>
      <c r="D31" s="40"/>
      <c r="E31" s="40"/>
      <c r="F31" s="40"/>
      <c r="G31" s="89"/>
      <c r="H31" s="89"/>
      <c r="I31" s="11"/>
    </row>
    <row r="32" spans="1:10" ht="25.5" customHeight="1" thickBot="1">
      <c r="B32" s="54"/>
      <c r="C32" s="56">
        <v>48860</v>
      </c>
      <c r="D32" s="51" t="s">
        <v>76</v>
      </c>
      <c r="E32" s="51"/>
      <c r="F32" s="51"/>
      <c r="G32" s="91"/>
      <c r="H32" s="92">
        <f>C32*H28</f>
        <v>97720</v>
      </c>
      <c r="I32" s="11"/>
    </row>
    <row r="33" spans="2:9" ht="25.5" customHeight="1" thickBot="1">
      <c r="B33" s="58"/>
      <c r="C33" s="59">
        <v>6110</v>
      </c>
      <c r="D33" s="60" t="s">
        <v>77</v>
      </c>
      <c r="E33" s="60"/>
      <c r="F33" s="60"/>
      <c r="G33" s="93"/>
      <c r="H33" s="94">
        <f>C33*H29</f>
        <v>6110</v>
      </c>
      <c r="I33" s="11"/>
    </row>
    <row r="34" spans="2:9" ht="25.5" customHeight="1" thickTop="1" thickBot="1">
      <c r="B34" s="62"/>
      <c r="C34" s="63" t="s">
        <v>85</v>
      </c>
      <c r="D34" s="63"/>
      <c r="E34" s="64"/>
      <c r="F34" s="65"/>
      <c r="G34" s="95"/>
      <c r="H34" s="96">
        <f>SUM(H32:H33)</f>
        <v>103830</v>
      </c>
    </row>
    <row r="35" spans="2:9" ht="33.75" customHeight="1"/>
    <row r="36" spans="2:9" ht="33.75" customHeight="1"/>
    <row r="37" spans="2:9" ht="33.75" customHeight="1"/>
    <row r="38" spans="2:9" ht="33.75" customHeight="1"/>
    <row r="39" spans="2:9" ht="33.75" customHeight="1"/>
    <row r="40" spans="2:9" ht="33.75" customHeight="1"/>
    <row r="41" spans="2:9" ht="33.75" customHeight="1"/>
    <row r="42" spans="2:9" ht="33.75" customHeight="1"/>
    <row r="43" spans="2:9" ht="33.75" customHeight="1"/>
    <row r="44" spans="2:9" ht="33.7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16">
    <mergeCell ref="C15:D15"/>
    <mergeCell ref="C20:D20"/>
    <mergeCell ref="C22:D22"/>
    <mergeCell ref="C17:D17"/>
    <mergeCell ref="C16:D16"/>
    <mergeCell ref="C18:D18"/>
    <mergeCell ref="C19:D19"/>
    <mergeCell ref="B4:C4"/>
    <mergeCell ref="C13:D13"/>
    <mergeCell ref="C14:D14"/>
    <mergeCell ref="D4:H4"/>
    <mergeCell ref="B7:E7"/>
    <mergeCell ref="B8:E8"/>
    <mergeCell ref="G11:H11"/>
    <mergeCell ref="C11:D11"/>
    <mergeCell ref="C12:D12"/>
  </mergeCells>
  <phoneticPr fontId="1"/>
  <dataValidations count="1">
    <dataValidation type="list" allowBlank="1" showInputMessage="1" showErrorMessage="1" sqref="E17 E19:E22">
      <formula1>"　,あり,なし"</formula1>
    </dataValidation>
  </dataValidations>
  <pageMargins left="0.92" right="0.56000000000000005" top="0.56999999999999995" bottom="0.33" header="0.3" footer="0.3"/>
  <pageSetup paperSize="9" scale="94"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幼稚園</vt:lpstr>
      <vt:lpstr>保育所</vt:lpstr>
      <vt:lpstr>認定こども園</vt:lpstr>
      <vt:lpstr>小規模（事業所内）Ａ・Ｂ</vt:lpstr>
      <vt:lpstr>小規模Ｃ</vt:lpstr>
      <vt:lpstr>事業所内（定員20以上）</vt:lpstr>
      <vt:lpstr>'事業所内（定員20以上）'!Print_Area</vt:lpstr>
      <vt:lpstr>'小規模（事業所内）Ａ・Ｂ'!Print_Area</vt:lpstr>
      <vt:lpstr>小規模Ｃ!Print_Area</vt:lpstr>
      <vt:lpstr>認定こども園!Print_Area</vt:lpstr>
      <vt:lpstr>保育所!Print_Area</vt:lpstr>
      <vt:lpstr>幼稚園!Print_Area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2021-07-19T04:31:47Z</dcterms:created>
  <dcterms:modified xsi:type="dcterms:W3CDTF">2021-08-13T01:55:26Z</dcterms:modified>
</cp:coreProperties>
</file>