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1871" documentId="11_7F3980B1B6EA5D43862D126C087DF279D2D113DE" xr6:coauthVersionLast="47" xr6:coauthVersionMax="47" xr10:uidLastSave="{D89C162B-A00F-431A-B8B3-3FAD52D01163}"/>
  <bookViews>
    <workbookView xWindow="-108" yWindow="-108" windowWidth="23256" windowHeight="12576" xr2:uid="{00000000-000D-0000-FFFF-FFFF00000000}"/>
  </bookViews>
  <sheets>
    <sheet name="幼稚園" sheetId="9" r:id="rId1"/>
    <sheet name="保育所" sheetId="5" r:id="rId2"/>
    <sheet name="認定こども園 " sheetId="16" r:id="rId3"/>
    <sheet name="家庭的保育事業" sheetId="12" r:id="rId4"/>
    <sheet name="小規模（事業所内）Ａ・Ｂ" sheetId="7" r:id="rId5"/>
    <sheet name="小規模Ｃ" sheetId="8" r:id="rId6"/>
    <sheet name="事業所内（定員20以上）" sheetId="10" r:id="rId7"/>
    <sheet name="居宅訪問型保育事業" sheetId="14" r:id="rId8"/>
  </sheets>
  <definedNames>
    <definedName name="_xlnm.Print_Area" localSheetId="3">家庭的保育事業!$A$1:$H$17</definedName>
    <definedName name="_xlnm.Print_Area" localSheetId="7">居宅訪問型保育事業!$A$1:$H$15</definedName>
    <definedName name="_xlnm.Print_Area" localSheetId="6">'事業所内（定員20以上）'!$A$1:$H$30</definedName>
    <definedName name="_xlnm.Print_Area" localSheetId="4">'小規模（事業所内）Ａ・Ｂ'!$A$1:$H$28</definedName>
    <definedName name="_xlnm.Print_Area" localSheetId="5">小規模Ｃ!$A$1:$H$24</definedName>
    <definedName name="_xlnm.Print_Area" localSheetId="2">'認定こども園 '!$A$1:$L$64</definedName>
    <definedName name="_xlnm.Print_Area" localSheetId="1">保育所!$A$1:$L$42</definedName>
    <definedName name="_xlnm.Print_Area" localSheetId="0">幼稚園!$A$1:$H$38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16" l="1"/>
  <c r="F29" i="16"/>
  <c r="G36" i="16"/>
  <c r="G37" i="16"/>
  <c r="F37" i="16"/>
  <c r="K59" i="16"/>
  <c r="G21" i="5" l="1"/>
  <c r="F21" i="5"/>
  <c r="F20" i="5"/>
  <c r="J20" i="5"/>
  <c r="K20" i="5"/>
  <c r="L20" i="5" s="1"/>
  <c r="G17" i="9"/>
  <c r="G21" i="9"/>
  <c r="G18" i="9"/>
  <c r="H45" i="16" l="1"/>
  <c r="H54" i="16"/>
  <c r="H46" i="16"/>
  <c r="G58" i="16"/>
  <c r="H58" i="16" s="1"/>
  <c r="F27" i="16" l="1"/>
  <c r="G27" i="16" s="1"/>
  <c r="H27" i="16" s="1"/>
  <c r="G26" i="16"/>
  <c r="L35" i="5" l="1"/>
  <c r="J35" i="5"/>
  <c r="F26" i="16"/>
  <c r="F28" i="16"/>
  <c r="G28" i="16"/>
  <c r="I27" i="16"/>
  <c r="F36" i="16"/>
  <c r="F32" i="16"/>
  <c r="H36" i="16"/>
  <c r="I36" i="16"/>
  <c r="G22" i="5"/>
  <c r="G20" i="5"/>
  <c r="H20" i="5" s="1"/>
  <c r="F23" i="5"/>
  <c r="H21" i="5" l="1"/>
  <c r="L40" i="16" l="1"/>
  <c r="L39" i="16"/>
  <c r="L37" i="5"/>
  <c r="H25" i="10" l="1"/>
  <c r="H19" i="10"/>
  <c r="K22" i="5"/>
  <c r="G23" i="5"/>
  <c r="H23" i="5" s="1"/>
  <c r="H9" i="14" l="1"/>
  <c r="H11" i="14" s="1"/>
  <c r="H12" i="14" s="1"/>
  <c r="H15" i="14" s="1"/>
  <c r="G47" i="16"/>
  <c r="H47" i="16" s="1"/>
  <c r="L59" i="16"/>
  <c r="G59" i="16"/>
  <c r="H59" i="16" s="1"/>
  <c r="H55" i="16"/>
  <c r="H56" i="16"/>
  <c r="H52" i="16"/>
  <c r="H51" i="16"/>
  <c r="H50" i="16"/>
  <c r="H43" i="16"/>
  <c r="I37" i="16"/>
  <c r="F30" i="16"/>
  <c r="I30" i="16"/>
  <c r="I29" i="16"/>
  <c r="G29" i="16" l="1"/>
  <c r="H29" i="16" s="1"/>
  <c r="H30" i="5"/>
  <c r="H37" i="5"/>
  <c r="G30" i="9"/>
  <c r="G29" i="9"/>
  <c r="G28" i="9"/>
  <c r="G26" i="9"/>
  <c r="G25" i="9"/>
  <c r="G24" i="9"/>
  <c r="G22" i="9"/>
  <c r="H37" i="16"/>
  <c r="I28" i="16"/>
  <c r="I26" i="16"/>
  <c r="I58" i="16"/>
  <c r="H15" i="16"/>
  <c r="H11" i="16"/>
  <c r="F15" i="16"/>
  <c r="F11" i="16"/>
  <c r="L57" i="16"/>
  <c r="E57" i="16"/>
  <c r="I55" i="16"/>
  <c r="I54" i="16"/>
  <c r="H53" i="16"/>
  <c r="I52" i="16"/>
  <c r="I51" i="16"/>
  <c r="I50" i="16"/>
  <c r="I49" i="16"/>
  <c r="H49" i="16"/>
  <c r="I48" i="16"/>
  <c r="H48" i="16"/>
  <c r="I47" i="16"/>
  <c r="I46" i="16"/>
  <c r="I45" i="16"/>
  <c r="I44" i="16"/>
  <c r="H44" i="16"/>
  <c r="I43" i="16"/>
  <c r="I42" i="16"/>
  <c r="H42" i="16"/>
  <c r="L41" i="16"/>
  <c r="H41" i="16"/>
  <c r="H40" i="16"/>
  <c r="H39" i="16"/>
  <c r="J35" i="16"/>
  <c r="K35" i="16" s="1"/>
  <c r="L35" i="16" s="1"/>
  <c r="F35" i="16"/>
  <c r="G35" i="16" s="1"/>
  <c r="H35" i="16" s="1"/>
  <c r="J34" i="16"/>
  <c r="K34" i="16" s="1"/>
  <c r="L34" i="16" s="1"/>
  <c r="F34" i="16"/>
  <c r="G34" i="16" s="1"/>
  <c r="H34" i="16" s="1"/>
  <c r="J33" i="16"/>
  <c r="K33" i="16" s="1"/>
  <c r="L33" i="16" s="1"/>
  <c r="F33" i="16"/>
  <c r="J32" i="16"/>
  <c r="K32" i="16" s="1"/>
  <c r="L32" i="16" s="1"/>
  <c r="G32" i="16"/>
  <c r="H32" i="16" s="1"/>
  <c r="H7" i="16"/>
  <c r="F7" i="16"/>
  <c r="H6" i="16"/>
  <c r="H28" i="16" l="1"/>
  <c r="H31" i="16" s="1"/>
  <c r="H25" i="16" s="1"/>
  <c r="G33" i="16"/>
  <c r="H33" i="16" s="1"/>
  <c r="H38" i="16" s="1"/>
  <c r="H10" i="16"/>
  <c r="F10" i="16"/>
  <c r="L38" i="16" l="1"/>
  <c r="L25" i="16" l="1"/>
  <c r="L60" i="16" s="1"/>
  <c r="L61" i="16" s="1"/>
  <c r="G20" i="10"/>
  <c r="G18" i="7"/>
  <c r="G31" i="5"/>
  <c r="H20" i="8" l="1"/>
  <c r="H16" i="7" l="1"/>
  <c r="L27" i="5"/>
  <c r="H29" i="5"/>
  <c r="G33" i="9"/>
  <c r="H24" i="10" l="1"/>
  <c r="H23" i="10"/>
  <c r="H21" i="10"/>
  <c r="H20" i="10"/>
  <c r="H21" i="8"/>
  <c r="G12" i="8"/>
  <c r="H9" i="8"/>
  <c r="G9" i="8"/>
  <c r="H18" i="7"/>
  <c r="H24" i="7" s="1"/>
  <c r="H25" i="7" s="1"/>
  <c r="H9" i="7"/>
  <c r="G14" i="7"/>
  <c r="H9" i="12"/>
  <c r="H8" i="12"/>
  <c r="H13" i="12" s="1"/>
  <c r="H14" i="12" s="1"/>
  <c r="G27" i="9"/>
  <c r="G32" i="9" l="1"/>
  <c r="G23" i="9"/>
  <c r="G19" i="9"/>
  <c r="E35" i="5"/>
  <c r="I36" i="5"/>
  <c r="H36" i="5"/>
  <c r="I29" i="5" l="1"/>
  <c r="I32" i="5"/>
  <c r="H33" i="5"/>
  <c r="H34" i="5" l="1"/>
  <c r="H32" i="5"/>
  <c r="H28" i="5"/>
  <c r="H27" i="5"/>
  <c r="H31" i="5" l="1"/>
  <c r="H8" i="14"/>
  <c r="H18" i="8"/>
  <c r="H17" i="8"/>
  <c r="H12" i="8"/>
  <c r="H22" i="7"/>
  <c r="H21" i="7"/>
  <c r="H19" i="7"/>
  <c r="H14" i="7"/>
  <c r="H11" i="12"/>
  <c r="H17" i="12" s="1"/>
  <c r="H10" i="12"/>
  <c r="G10" i="7"/>
  <c r="G34" i="9"/>
  <c r="H22" i="10" l="1"/>
  <c r="H16" i="8"/>
  <c r="H20" i="7"/>
  <c r="I34" i="5"/>
  <c r="J22" i="5"/>
  <c r="G31" i="9"/>
  <c r="G13" i="10" l="1"/>
  <c r="G14" i="10"/>
  <c r="H14" i="10" s="1"/>
  <c r="H13" i="10"/>
  <c r="G13" i="7"/>
  <c r="G12" i="7"/>
  <c r="G11" i="7"/>
  <c r="H11" i="7" s="1"/>
  <c r="H10" i="7"/>
  <c r="J25" i="5"/>
  <c r="J24" i="5"/>
  <c r="K25" i="5" l="1"/>
  <c r="L25" i="5" s="1"/>
  <c r="K24" i="5"/>
  <c r="L24" i="5" s="1"/>
  <c r="I33" i="5"/>
  <c r="I31" i="5"/>
  <c r="I30" i="5"/>
  <c r="I28" i="5"/>
  <c r="I17" i="5"/>
  <c r="I9" i="5"/>
  <c r="I7" i="5"/>
  <c r="L22" i="5" l="1"/>
  <c r="L26" i="5" l="1"/>
  <c r="L19" i="5" s="1"/>
  <c r="L38" i="5" s="1"/>
  <c r="L39" i="5" s="1"/>
  <c r="F9" i="5"/>
  <c r="G16" i="10" l="1"/>
  <c r="H16" i="10" s="1"/>
  <c r="G17" i="10"/>
  <c r="H17" i="10" s="1"/>
  <c r="G15" i="10"/>
  <c r="H15" i="10" s="1"/>
  <c r="H18" i="10" l="1"/>
  <c r="H12" i="10" s="1"/>
  <c r="H26" i="10" s="1"/>
  <c r="H27" i="10" s="1"/>
  <c r="H30" i="10" s="1"/>
  <c r="F22" i="5" l="1"/>
  <c r="F24" i="5"/>
  <c r="G24" i="5" s="1"/>
  <c r="H24" i="5" s="1"/>
  <c r="F25" i="5"/>
  <c r="H22" i="5" l="1"/>
  <c r="H26" i="5" s="1"/>
  <c r="H19" i="5" s="1"/>
  <c r="F8" i="9"/>
  <c r="G13" i="8" l="1"/>
  <c r="H13" i="8" s="1"/>
  <c r="H14" i="8" s="1"/>
  <c r="H8" i="8" s="1"/>
  <c r="H15" i="8"/>
  <c r="H17" i="7"/>
  <c r="H13" i="7"/>
  <c r="H12" i="7"/>
  <c r="G25" i="5"/>
  <c r="H25" i="5" s="1"/>
  <c r="H38" i="5" s="1"/>
  <c r="H39" i="5" s="1"/>
  <c r="H42" i="5" s="1"/>
  <c r="H28" i="7" l="1"/>
  <c r="H24" i="8"/>
  <c r="G35" i="9" l="1"/>
  <c r="G38" i="9" s="1"/>
  <c r="H60" i="16" l="1"/>
  <c r="H61" i="16" s="1"/>
  <c r="H64"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3" authorId="0" shapeId="0" xr:uid="{00000000-0006-0000-0000-000001000000}">
      <text>
        <r>
          <rPr>
            <sz val="12"/>
            <color indexed="81"/>
            <rFont val="MS P ゴシック"/>
            <family val="3"/>
            <charset val="128"/>
          </rPr>
          <t>加算算定上の「加配人数」を入力</t>
        </r>
      </text>
    </comment>
    <comment ref="F25" authorId="0" shapeId="0" xr:uid="{FE3EFE85-E32F-46AD-9A8F-676EF62144AC}">
      <text>
        <r>
          <rPr>
            <sz val="12"/>
            <color indexed="81"/>
            <rFont val="MS P ゴシック"/>
            <family val="3"/>
            <charset val="128"/>
          </rPr>
          <t>適用されている区分を入力</t>
        </r>
      </text>
    </comment>
    <comment ref="F27" authorId="0" shapeId="0" xr:uid="{985AD5B1-68A6-4705-BD74-7D409894557D}">
      <text>
        <r>
          <rPr>
            <sz val="12"/>
            <color indexed="81"/>
            <rFont val="MS P ゴシック"/>
            <family val="3"/>
            <charset val="128"/>
          </rPr>
          <t>適用されている区分を入力</t>
        </r>
      </text>
    </comment>
    <comment ref="C31" authorId="0" shapeId="0" xr:uid="{00000000-0006-0000-0000-000002000000}">
      <text>
        <r>
          <rPr>
            <sz val="11"/>
            <color indexed="81"/>
            <rFont val="MS P ゴシック"/>
            <family val="3"/>
            <charset val="128"/>
          </rPr>
          <t>A:配置を受けていること</t>
        </r>
      </text>
    </comment>
    <comment ref="F32" authorId="0" shapeId="0" xr:uid="{00000000-0006-0000-0000-000003000000}">
      <text>
        <r>
          <rPr>
            <sz val="12"/>
            <color indexed="81"/>
            <rFont val="MS P ゴシック"/>
            <family val="3"/>
            <charset val="128"/>
          </rPr>
          <t>「必要教員数－配置教員数」
の値を入力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1" authorId="0" shapeId="0" xr:uid="{01EE04BA-BC00-45C5-ADF3-B4E7B484EDFF}">
      <text>
        <r>
          <rPr>
            <sz val="12"/>
            <color indexed="81"/>
            <rFont val="ＭＳ Ｐゴシック"/>
            <family val="3"/>
            <charset val="128"/>
          </rPr>
          <t>休日保育の年間延べ利用子ども数を入力</t>
        </r>
        <r>
          <rPr>
            <sz val="10"/>
            <color indexed="81"/>
            <rFont val="ＭＳ Ｐゴシック"/>
            <family val="3"/>
            <charset val="128"/>
          </rPr>
          <t xml:space="preserve">
</t>
        </r>
      </text>
    </comment>
    <comment ref="F33" authorId="0" shapeId="0" xr:uid="{AB2D7BC8-FEB4-4E5B-823F-B7F4E73135D1}">
      <text>
        <r>
          <rPr>
            <sz val="12"/>
            <color indexed="81"/>
            <rFont val="MS P ゴシック"/>
            <family val="3"/>
            <charset val="128"/>
          </rPr>
          <t>加算算定上の「加配人数」を入力</t>
        </r>
      </text>
    </comment>
    <comment ref="C34" authorId="0" shapeId="0" xr:uid="{00000000-0006-0000-0100-000001000000}">
      <text>
        <r>
          <rPr>
            <sz val="12"/>
            <color indexed="81"/>
            <rFont val="MS P ゴシック"/>
            <family val="3"/>
            <charset val="128"/>
          </rPr>
          <t>A：配置であること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44" authorId="0" shapeId="0" xr:uid="{7517B062-C8D4-40C8-A80D-F0831DDBFE45}">
      <text>
        <r>
          <rPr>
            <sz val="12"/>
            <color indexed="81"/>
            <rFont val="ＭＳ Ｐゴシック"/>
            <family val="3"/>
            <charset val="128"/>
          </rPr>
          <t>加算算定上の「加配人数」を入力</t>
        </r>
      </text>
    </comment>
    <comment ref="F47" authorId="0" shapeId="0" xr:uid="{B7FE7396-DFC3-4E64-8132-B532BFBA6D71}">
      <text>
        <r>
          <rPr>
            <sz val="12"/>
            <color indexed="81"/>
            <rFont val="ＭＳ Ｐゴシック"/>
            <family val="3"/>
            <charset val="128"/>
          </rPr>
          <t>休日保育の年間延べ利用子ども数を入力</t>
        </r>
        <r>
          <rPr>
            <sz val="10"/>
            <color indexed="81"/>
            <rFont val="ＭＳ Ｐゴシック"/>
            <family val="3"/>
            <charset val="128"/>
          </rPr>
          <t xml:space="preserve">
</t>
        </r>
      </text>
    </comment>
    <comment ref="C53" authorId="0" shapeId="0" xr:uid="{CEDF321C-5F28-4AF8-B6F0-9A9D7567E592}">
      <text>
        <r>
          <rPr>
            <sz val="12"/>
            <color indexed="81"/>
            <rFont val="MS P ゴシック"/>
            <family val="3"/>
            <charset val="128"/>
          </rPr>
          <t>A[配置」であること</t>
        </r>
      </text>
    </comment>
    <comment ref="F54" authorId="0" shapeId="0" xr:uid="{C6D2FA8B-8214-4D80-9D8B-68A48C7BBB99}">
      <text>
        <r>
          <rPr>
            <sz val="12"/>
            <color indexed="81"/>
            <rFont val="MS P ゴシック"/>
            <family val="3"/>
            <charset val="128"/>
          </rPr>
          <t>適用を受ける区分を入力</t>
        </r>
      </text>
    </comment>
    <comment ref="F55" authorId="0" shapeId="0" xr:uid="{55206890-B398-4C30-926A-1FB7A939C15D}">
      <text>
        <r>
          <rPr>
            <sz val="12"/>
            <color indexed="81"/>
            <rFont val="MS P ゴシック"/>
            <family val="3"/>
            <charset val="128"/>
          </rPr>
          <t>「必要保育教諭等数－配置保育教諭等数」
の値を入力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8" authorId="0" shapeId="0" xr:uid="{D67D05F9-2991-46C2-A3C2-9E7EE750CDB7}">
      <text>
        <r>
          <rPr>
            <sz val="12"/>
            <color indexed="81"/>
            <rFont val="MS P ゴシック"/>
            <family val="3"/>
            <charset val="128"/>
          </rPr>
          <t>利用子どもの人数に応じて選択</t>
        </r>
      </text>
    </comment>
    <comment ref="F9" authorId="0" shapeId="0" xr:uid="{29818EF5-03EA-4D35-8E4C-014A1E06037A}">
      <text>
        <r>
          <rPr>
            <sz val="12"/>
            <color indexed="81"/>
            <rFont val="MS P ゴシック"/>
            <family val="3"/>
            <charset val="128"/>
          </rPr>
          <t>特別な支援が必要な利用子どもの人数を入力</t>
        </r>
      </text>
    </comment>
    <comment ref="C10" authorId="0" shapeId="0" xr:uid="{00000000-0006-0000-0300-000001000000}">
      <text>
        <r>
          <rPr>
            <sz val="12"/>
            <color indexed="81"/>
            <rFont val="MS P ゴシック"/>
            <family val="3"/>
            <charset val="128"/>
          </rPr>
          <t>A「配置」であること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8" authorId="0" shapeId="0" xr:uid="{EB895D81-FF6B-410A-B49A-68206948A85C}">
      <text>
        <r>
          <rPr>
            <sz val="12"/>
            <color indexed="81"/>
            <rFont val="ＭＳ Ｐゴシック"/>
            <family val="3"/>
            <charset val="128"/>
          </rPr>
          <t>休日保育の年間延べ利用子ども数を入力</t>
        </r>
        <r>
          <rPr>
            <sz val="10"/>
            <color indexed="81"/>
            <rFont val="ＭＳ Ｐゴシック"/>
            <family val="3"/>
            <charset val="128"/>
          </rPr>
          <t xml:space="preserve">
</t>
        </r>
      </text>
    </comment>
    <comment ref="C20" authorId="0" shapeId="0" xr:uid="{00000000-0006-0000-0400-000001000000}">
      <text>
        <r>
          <rPr>
            <sz val="12"/>
            <color indexed="81"/>
            <rFont val="MS P ゴシック"/>
            <family val="3"/>
            <charset val="128"/>
          </rPr>
          <t>A「配置」であること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6" authorId="0" shapeId="0" xr:uid="{00000000-0006-0000-0500-000001000000}">
      <text>
        <r>
          <rPr>
            <sz val="12"/>
            <color indexed="81"/>
            <rFont val="MS P ゴシック"/>
            <family val="3"/>
            <charset val="128"/>
          </rPr>
          <t>A「配置」であること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0" authorId="0" shapeId="0" xr:uid="{30A9B6F2-C034-40A0-8480-82A314171602}">
      <text>
        <r>
          <rPr>
            <sz val="12"/>
            <color indexed="81"/>
            <rFont val="ＭＳ Ｐゴシック"/>
            <family val="3"/>
            <charset val="128"/>
          </rPr>
          <t>休日保育の年間延べ利用子ども数を入力</t>
        </r>
        <r>
          <rPr>
            <sz val="10"/>
            <color indexed="81"/>
            <rFont val="ＭＳ Ｐゴシック"/>
            <family val="3"/>
            <charset val="128"/>
          </rPr>
          <t xml:space="preserve">
</t>
        </r>
      </text>
    </comment>
    <comment ref="C22" authorId="0" shapeId="0" xr:uid="{00000000-0006-0000-0600-000001000000}">
      <text>
        <r>
          <rPr>
            <sz val="12"/>
            <color indexed="81"/>
            <rFont val="MS P ゴシック"/>
            <family val="3"/>
            <charset val="128"/>
          </rPr>
          <t>A「配置」であること</t>
        </r>
      </text>
    </comment>
  </commentList>
</comments>
</file>

<file path=xl/sharedStrings.xml><?xml version="1.0" encoding="utf-8"?>
<sst xmlns="http://schemas.openxmlformats.org/spreadsheetml/2006/main" count="487" uniqueCount="163">
  <si>
    <t>処遇改善等加算Ⅲ　加算Ⅲ算定対象人数計算表（幼稚園）</t>
    <rPh sb="0" eb="2">
      <t>ショグウ</t>
    </rPh>
    <rPh sb="2" eb="4">
      <t>カイゼン</t>
    </rPh>
    <rPh sb="4" eb="5">
      <t>トウ</t>
    </rPh>
    <rPh sb="5" eb="7">
      <t>カサン</t>
    </rPh>
    <rPh sb="9" eb="11">
      <t>カサン</t>
    </rPh>
    <rPh sb="12" eb="14">
      <t>サンテイ</t>
    </rPh>
    <rPh sb="14" eb="16">
      <t>タイショウ</t>
    </rPh>
    <rPh sb="16" eb="18">
      <t>ニンズウ</t>
    </rPh>
    <rPh sb="18" eb="20">
      <t>ケイサン</t>
    </rPh>
    <rPh sb="20" eb="21">
      <t>オモテ</t>
    </rPh>
    <rPh sb="22" eb="25">
      <t>ヨウチエン</t>
    </rPh>
    <phoneticPr fontId="1"/>
  </si>
  <si>
    <t>施設・事業所名</t>
    <rPh sb="0" eb="2">
      <t>シセツ</t>
    </rPh>
    <rPh sb="3" eb="6">
      <t>ジギョウショ</t>
    </rPh>
    <rPh sb="6" eb="7">
      <t>メイ</t>
    </rPh>
    <phoneticPr fontId="1"/>
  </si>
  <si>
    <t>○○○幼稚園</t>
    <rPh sb="3" eb="6">
      <t>ヨウチエン</t>
    </rPh>
    <phoneticPr fontId="1"/>
  </si>
  <si>
    <t>0．基礎情報</t>
    <rPh sb="2" eb="4">
      <t>キソ</t>
    </rPh>
    <rPh sb="4" eb="6">
      <t>ジョウホウ</t>
    </rPh>
    <phoneticPr fontId="1"/>
  </si>
  <si>
    <t>入力項目</t>
    <rPh sb="0" eb="2">
      <t>ニュウリョク</t>
    </rPh>
    <rPh sb="2" eb="4">
      <t>コウモク</t>
    </rPh>
    <phoneticPr fontId="1"/>
  </si>
  <si>
    <t>利用定員数</t>
    <rPh sb="0" eb="2">
      <t>リヨウ</t>
    </rPh>
    <rPh sb="2" eb="4">
      <t>テイイン</t>
    </rPh>
    <rPh sb="4" eb="5">
      <t>スウ</t>
    </rPh>
    <phoneticPr fontId="1"/>
  </si>
  <si>
    <t>在籍園児数</t>
    <rPh sb="0" eb="2">
      <t>ザイセキ</t>
    </rPh>
    <rPh sb="2" eb="4">
      <t>エンジ</t>
    </rPh>
    <rPh sb="4" eb="5">
      <t>スウ</t>
    </rPh>
    <phoneticPr fontId="1"/>
  </si>
  <si>
    <t>４歳児以上児</t>
    <rPh sb="1" eb="3">
      <t>サイジ</t>
    </rPh>
    <rPh sb="3" eb="5">
      <t>イジョウ</t>
    </rPh>
    <rPh sb="5" eb="6">
      <t>ジ</t>
    </rPh>
    <phoneticPr fontId="1"/>
  </si>
  <si>
    <t>３歳児（※満３歳児含む）</t>
    <rPh sb="1" eb="2">
      <t>サイ</t>
    </rPh>
    <rPh sb="2" eb="3">
      <t>ジ</t>
    </rPh>
    <rPh sb="5" eb="6">
      <t>マン</t>
    </rPh>
    <rPh sb="7" eb="8">
      <t>サイ</t>
    </rPh>
    <rPh sb="8" eb="9">
      <t>ジ</t>
    </rPh>
    <rPh sb="9" eb="10">
      <t>フク</t>
    </rPh>
    <phoneticPr fontId="1"/>
  </si>
  <si>
    <t>うち満３歳児</t>
    <rPh sb="2" eb="3">
      <t>マン</t>
    </rPh>
    <rPh sb="4" eb="5">
      <t>サイ</t>
    </rPh>
    <rPh sb="5" eb="6">
      <t>ジ</t>
    </rPh>
    <phoneticPr fontId="1"/>
  </si>
  <si>
    <t>※</t>
    <phoneticPr fontId="1"/>
  </si>
  <si>
    <t>１．加算Ⅲの加算算定対象人数（人）</t>
    <rPh sb="2" eb="4">
      <t>カサン</t>
    </rPh>
    <rPh sb="6" eb="8">
      <t>カサン</t>
    </rPh>
    <rPh sb="8" eb="10">
      <t>サンテイ</t>
    </rPh>
    <rPh sb="10" eb="12">
      <t>タイショウ</t>
    </rPh>
    <rPh sb="12" eb="14">
      <t>ニンズウ</t>
    </rPh>
    <rPh sb="15" eb="16">
      <t>ニン</t>
    </rPh>
    <phoneticPr fontId="1"/>
  </si>
  <si>
    <t>選択
項目</t>
    <rPh sb="0" eb="2">
      <t>センタク</t>
    </rPh>
    <rPh sb="3" eb="5">
      <t>コウモク</t>
    </rPh>
    <phoneticPr fontId="1"/>
  </si>
  <si>
    <t>入力
項目</t>
    <rPh sb="0" eb="2">
      <t>ニュウリョク</t>
    </rPh>
    <rPh sb="3" eb="5">
      <t>コウモク</t>
    </rPh>
    <phoneticPr fontId="1"/>
  </si>
  <si>
    <t>職員数
（自動計算）</t>
    <rPh sb="0" eb="3">
      <t>ショクインスウ</t>
    </rPh>
    <rPh sb="5" eb="7">
      <t>ジドウ</t>
    </rPh>
    <rPh sb="7" eb="9">
      <t>ケイサン</t>
    </rPh>
    <phoneticPr fontId="1"/>
  </si>
  <si>
    <t>ａ</t>
    <phoneticPr fontId="1"/>
  </si>
  <si>
    <t>年齢別配置基準による職員数</t>
    <rPh sb="0" eb="3">
      <t>ネンレイベツ</t>
    </rPh>
    <rPh sb="3" eb="7">
      <t>ハイキ</t>
    </rPh>
    <rPh sb="10" eb="13">
      <t>ショクインスウ</t>
    </rPh>
    <phoneticPr fontId="1"/>
  </si>
  <si>
    <t>３歳児配置改善加算</t>
    <phoneticPr fontId="1"/>
  </si>
  <si>
    <t>あり</t>
  </si>
  <si>
    <t>満３歳児配置改善加算</t>
    <rPh sb="0" eb="1">
      <t>マン</t>
    </rPh>
    <rPh sb="2" eb="3">
      <t>サイ</t>
    </rPh>
    <rPh sb="3" eb="4">
      <t>ジ</t>
    </rPh>
    <rPh sb="4" eb="6">
      <t>ハイチ</t>
    </rPh>
    <rPh sb="6" eb="8">
      <t>カイゼン</t>
    </rPh>
    <rPh sb="8" eb="10">
      <t>カサン</t>
    </rPh>
    <phoneticPr fontId="1"/>
  </si>
  <si>
    <t>小計（小数点第一位四捨五入）</t>
    <rPh sb="0" eb="2">
      <t>ショウケイ</t>
    </rPh>
    <phoneticPr fontId="1"/>
  </si>
  <si>
    <t>ｂ</t>
    <phoneticPr fontId="1"/>
  </si>
  <si>
    <t>講師配置加算</t>
    <rPh sb="0" eb="2">
      <t>コウシ</t>
    </rPh>
    <rPh sb="2" eb="4">
      <t>ハイチ</t>
    </rPh>
    <rPh sb="4" eb="6">
      <t>カサン</t>
    </rPh>
    <phoneticPr fontId="1"/>
  </si>
  <si>
    <t>ｃ</t>
    <phoneticPr fontId="1"/>
  </si>
  <si>
    <t>チーム保育加配加算</t>
    <rPh sb="3" eb="5">
      <t>ホイク</t>
    </rPh>
    <rPh sb="5" eb="7">
      <t>カハイ</t>
    </rPh>
    <rPh sb="7" eb="9">
      <t>カサン</t>
    </rPh>
    <phoneticPr fontId="1"/>
  </si>
  <si>
    <t>ｄ</t>
    <phoneticPr fontId="1"/>
  </si>
  <si>
    <t>通園送迎加算</t>
    <rPh sb="0" eb="2">
      <t>ツウエン</t>
    </rPh>
    <rPh sb="2" eb="4">
      <t>ソウゲイ</t>
    </rPh>
    <rPh sb="4" eb="6">
      <t>カサン</t>
    </rPh>
    <phoneticPr fontId="1"/>
  </si>
  <si>
    <t>ｅ</t>
    <phoneticPr fontId="1"/>
  </si>
  <si>
    <t>給食実施加算</t>
    <rPh sb="0" eb="2">
      <t>キュウショク</t>
    </rPh>
    <rPh sb="2" eb="4">
      <t>ジッシ</t>
    </rPh>
    <rPh sb="4" eb="6">
      <t>カサン</t>
    </rPh>
    <phoneticPr fontId="1"/>
  </si>
  <si>
    <t>自園調理</t>
  </si>
  <si>
    <t>ｆ</t>
    <phoneticPr fontId="1"/>
  </si>
  <si>
    <t>主幹教諭等専任加算</t>
    <rPh sb="0" eb="2">
      <t>シュカン</t>
    </rPh>
    <rPh sb="2" eb="4">
      <t>キョウユ</t>
    </rPh>
    <rPh sb="4" eb="5">
      <t>トウ</t>
    </rPh>
    <rPh sb="5" eb="7">
      <t>センニン</t>
    </rPh>
    <rPh sb="7" eb="9">
      <t>カサン</t>
    </rPh>
    <phoneticPr fontId="1"/>
  </si>
  <si>
    <t>g</t>
    <phoneticPr fontId="1"/>
  </si>
  <si>
    <t>療育支援加算</t>
    <rPh sb="0" eb="2">
      <t>リョウイク</t>
    </rPh>
    <rPh sb="2" eb="4">
      <t>シエン</t>
    </rPh>
    <rPh sb="4" eb="6">
      <t>カサン</t>
    </rPh>
    <phoneticPr fontId="1"/>
  </si>
  <si>
    <t>A</t>
  </si>
  <si>
    <t>h</t>
    <phoneticPr fontId="1"/>
  </si>
  <si>
    <t>事務職員配置加算</t>
    <rPh sb="0" eb="2">
      <t>ジム</t>
    </rPh>
    <rPh sb="2" eb="4">
      <t>ショクイン</t>
    </rPh>
    <rPh sb="4" eb="6">
      <t>ハイチ</t>
    </rPh>
    <rPh sb="6" eb="8">
      <t>カサン</t>
    </rPh>
    <phoneticPr fontId="1"/>
  </si>
  <si>
    <t>i</t>
    <phoneticPr fontId="1"/>
  </si>
  <si>
    <t>指導充実加配加算</t>
    <rPh sb="0" eb="2">
      <t>シドウ</t>
    </rPh>
    <rPh sb="2" eb="4">
      <t>ジュウジツ</t>
    </rPh>
    <rPh sb="4" eb="6">
      <t>カハイ</t>
    </rPh>
    <rPh sb="6" eb="8">
      <t>カサン</t>
    </rPh>
    <phoneticPr fontId="1"/>
  </si>
  <si>
    <t>j</t>
    <phoneticPr fontId="1"/>
  </si>
  <si>
    <t>事務負担対応加配加算</t>
    <rPh sb="0" eb="2">
      <t>ジム</t>
    </rPh>
    <rPh sb="2" eb="4">
      <t>フタン</t>
    </rPh>
    <rPh sb="4" eb="6">
      <t>タイオウ</t>
    </rPh>
    <rPh sb="6" eb="8">
      <t>カハイ</t>
    </rPh>
    <rPh sb="8" eb="10">
      <t>カサン</t>
    </rPh>
    <phoneticPr fontId="1"/>
  </si>
  <si>
    <t>k</t>
    <phoneticPr fontId="1"/>
  </si>
  <si>
    <t>栄養管理加算</t>
    <rPh sb="0" eb="2">
      <t>エイヨウ</t>
    </rPh>
    <rPh sb="2" eb="4">
      <t>カンリ</t>
    </rPh>
    <rPh sb="4" eb="6">
      <t>カサン</t>
    </rPh>
    <phoneticPr fontId="1"/>
  </si>
  <si>
    <t>m</t>
    <phoneticPr fontId="1"/>
  </si>
  <si>
    <t>年齢別配置基準</t>
    <rPh sb="0" eb="2">
      <t>ネンレイ</t>
    </rPh>
    <rPh sb="2" eb="3">
      <t>ベツ</t>
    </rPh>
    <rPh sb="3" eb="5">
      <t>ハイチ</t>
    </rPh>
    <rPh sb="5" eb="7">
      <t>キジュン</t>
    </rPh>
    <phoneticPr fontId="1"/>
  </si>
  <si>
    <t>満たさない</t>
  </si>
  <si>
    <t>利用定員数に基づく職員数</t>
    <rPh sb="0" eb="2">
      <t>リヨウ</t>
    </rPh>
    <rPh sb="2" eb="5">
      <t>テイインスウ</t>
    </rPh>
    <rPh sb="6" eb="7">
      <t>モト</t>
    </rPh>
    <rPh sb="9" eb="12">
      <t>ショクインスウ</t>
    </rPh>
    <phoneticPr fontId="1"/>
  </si>
  <si>
    <t>合計</t>
    <rPh sb="0" eb="2">
      <t>ゴウケイ</t>
    </rPh>
    <phoneticPr fontId="1"/>
  </si>
  <si>
    <t>加算Ⅲ算定対象人数（1人未満端数　四捨五入）</t>
    <rPh sb="0" eb="2">
      <t>カサン</t>
    </rPh>
    <rPh sb="3" eb="5">
      <t>サンテイ</t>
    </rPh>
    <rPh sb="5" eb="7">
      <t>タイショウ</t>
    </rPh>
    <rPh sb="7" eb="9">
      <t>ニンズウ</t>
    </rPh>
    <rPh sb="11" eb="12">
      <t>ニン</t>
    </rPh>
    <rPh sb="12" eb="14">
      <t>ミマン</t>
    </rPh>
    <rPh sb="14" eb="16">
      <t>ハスウ</t>
    </rPh>
    <rPh sb="17" eb="21">
      <t>シシャゴニュウ</t>
    </rPh>
    <phoneticPr fontId="1"/>
  </si>
  <si>
    <t>（参考）加算見込額（円）</t>
    <rPh sb="1" eb="3">
      <t>サンコウ</t>
    </rPh>
    <rPh sb="4" eb="6">
      <t>カサン</t>
    </rPh>
    <rPh sb="6" eb="8">
      <t>ミコ</t>
    </rPh>
    <rPh sb="8" eb="9">
      <t>ガク</t>
    </rPh>
    <rPh sb="10" eb="11">
      <t>エン</t>
    </rPh>
    <phoneticPr fontId="1"/>
  </si>
  <si>
    <t>×加算Ⅲ算定対象人数</t>
    <rPh sb="1" eb="3">
      <t>カサン</t>
    </rPh>
    <rPh sb="4" eb="6">
      <t>サンテイ</t>
    </rPh>
    <rPh sb="6" eb="8">
      <t>タイショウ</t>
    </rPh>
    <rPh sb="8" eb="10">
      <t>ニンズウ</t>
    </rPh>
    <phoneticPr fontId="1"/>
  </si>
  <si>
    <t>処遇改善等加算Ⅲ　加算Ⅲ算定対象人数計算表（保育所）</t>
    <rPh sb="0" eb="2">
      <t>ショグウ</t>
    </rPh>
    <rPh sb="2" eb="4">
      <t>カイゼン</t>
    </rPh>
    <rPh sb="4" eb="5">
      <t>トウ</t>
    </rPh>
    <rPh sb="5" eb="7">
      <t>カサン</t>
    </rPh>
    <rPh sb="9" eb="11">
      <t>カサン</t>
    </rPh>
    <rPh sb="12" eb="14">
      <t>サンテイ</t>
    </rPh>
    <rPh sb="14" eb="16">
      <t>タイショウ</t>
    </rPh>
    <rPh sb="16" eb="18">
      <t>ニンズウ</t>
    </rPh>
    <rPh sb="18" eb="20">
      <t>ケイサン</t>
    </rPh>
    <rPh sb="20" eb="21">
      <t>オモテ</t>
    </rPh>
    <rPh sb="22" eb="25">
      <t>ホイクショ</t>
    </rPh>
    <phoneticPr fontId="1"/>
  </si>
  <si>
    <t>○○○保育所</t>
    <rPh sb="3" eb="6">
      <t>ホイクショ</t>
    </rPh>
    <phoneticPr fontId="1"/>
  </si>
  <si>
    <t>選択項目</t>
    <rPh sb="0" eb="2">
      <t>センタク</t>
    </rPh>
    <rPh sb="2" eb="4">
      <t>コウモク</t>
    </rPh>
    <phoneticPr fontId="1"/>
  </si>
  <si>
    <t>分園の有無</t>
    <rPh sb="0" eb="2">
      <t>ブンエン</t>
    </rPh>
    <rPh sb="3" eb="5">
      <t>ウム</t>
    </rPh>
    <phoneticPr fontId="1"/>
  </si>
  <si>
    <t>本園分を
記入</t>
    <rPh sb="0" eb="1">
      <t>ホン</t>
    </rPh>
    <rPh sb="1" eb="2">
      <t>エン</t>
    </rPh>
    <rPh sb="2" eb="3">
      <t>ブン</t>
    </rPh>
    <rPh sb="5" eb="7">
      <t>キニュウ</t>
    </rPh>
    <phoneticPr fontId="1"/>
  </si>
  <si>
    <t>年齢別児童数</t>
    <rPh sb="0" eb="3">
      <t>ネンレイベツ</t>
    </rPh>
    <rPh sb="3" eb="6">
      <t>ジドウスウ</t>
    </rPh>
    <phoneticPr fontId="1"/>
  </si>
  <si>
    <t>３歳児</t>
    <rPh sb="1" eb="2">
      <t>サイ</t>
    </rPh>
    <rPh sb="2" eb="3">
      <t>ジ</t>
    </rPh>
    <phoneticPr fontId="1"/>
  </si>
  <si>
    <t>１，２歳児</t>
    <rPh sb="3" eb="5">
      <t>サイジ</t>
    </rPh>
    <phoneticPr fontId="1"/>
  </si>
  <si>
    <t>０歳児</t>
    <rPh sb="1" eb="3">
      <t>サイジ</t>
    </rPh>
    <phoneticPr fontId="1"/>
  </si>
  <si>
    <t>本園分</t>
    <rPh sb="0" eb="1">
      <t>ホン</t>
    </rPh>
    <rPh sb="1" eb="2">
      <t>エン</t>
    </rPh>
    <rPh sb="2" eb="3">
      <t>ブン</t>
    </rPh>
    <phoneticPr fontId="1"/>
  </si>
  <si>
    <t>4歳以上児</t>
    <rPh sb="1" eb="4">
      <t>サイイジョウ</t>
    </rPh>
    <rPh sb="2" eb="4">
      <t>イジョウ</t>
    </rPh>
    <rPh sb="4" eb="5">
      <t>ジ</t>
    </rPh>
    <phoneticPr fontId="1"/>
  </si>
  <si>
    <t>3歳児</t>
    <rPh sb="1" eb="3">
      <t>サイジ</t>
    </rPh>
    <phoneticPr fontId="1"/>
  </si>
  <si>
    <t xml:space="preserve">  3歳児配置改善加算</t>
    <rPh sb="3" eb="5">
      <t>サイジ</t>
    </rPh>
    <rPh sb="5" eb="7">
      <t>ハイチ</t>
    </rPh>
    <rPh sb="7" eb="9">
      <t>カイゼン</t>
    </rPh>
    <rPh sb="9" eb="11">
      <t>カサン</t>
    </rPh>
    <phoneticPr fontId="1"/>
  </si>
  <si>
    <t>本園と合算</t>
    <rPh sb="0" eb="2">
      <t>ホンエン</t>
    </rPh>
    <rPh sb="3" eb="5">
      <t>ガッサン</t>
    </rPh>
    <phoneticPr fontId="1"/>
  </si>
  <si>
    <t>小計（小数点第一位四捨五入）</t>
    <rPh sb="0" eb="2">
      <t>ショウケイ</t>
    </rPh>
    <rPh sb="3" eb="6">
      <t>ショウスウテン</t>
    </rPh>
    <rPh sb="6" eb="7">
      <t>ダイ</t>
    </rPh>
    <rPh sb="7" eb="9">
      <t>イチイ</t>
    </rPh>
    <rPh sb="9" eb="13">
      <t>シシャゴニュウ</t>
    </rPh>
    <phoneticPr fontId="1"/>
  </si>
  <si>
    <t>保育標準時間認定の児童</t>
    <rPh sb="0" eb="2">
      <t>ホイク</t>
    </rPh>
    <rPh sb="2" eb="4">
      <t>ヒョウジュン</t>
    </rPh>
    <rPh sb="4" eb="6">
      <t>ジカン</t>
    </rPh>
    <rPh sb="6" eb="8">
      <t>ニンテイ</t>
    </rPh>
    <rPh sb="9" eb="11">
      <t>ジドウ</t>
    </rPh>
    <phoneticPr fontId="1"/>
  </si>
  <si>
    <t>主任保育士専任加算</t>
    <rPh sb="0" eb="2">
      <t>シュニン</t>
    </rPh>
    <rPh sb="2" eb="5">
      <t>ホイクシ</t>
    </rPh>
    <rPh sb="5" eb="7">
      <t>センニン</t>
    </rPh>
    <rPh sb="7" eb="9">
      <t>カサン</t>
    </rPh>
    <phoneticPr fontId="1"/>
  </si>
  <si>
    <t>事務職員雇上加算</t>
    <rPh sb="0" eb="2">
      <t>ジム</t>
    </rPh>
    <rPh sb="2" eb="4">
      <t>ショクイン</t>
    </rPh>
    <rPh sb="4" eb="5">
      <t>ヤト</t>
    </rPh>
    <rPh sb="5" eb="6">
      <t>ア</t>
    </rPh>
    <rPh sb="6" eb="8">
      <t>カサン</t>
    </rPh>
    <phoneticPr fontId="1"/>
  </si>
  <si>
    <t>休日保育加算</t>
    <rPh sb="0" eb="2">
      <t>キュウジツ</t>
    </rPh>
    <rPh sb="2" eb="4">
      <t>ホイク</t>
    </rPh>
    <rPh sb="4" eb="6">
      <t>カサン</t>
    </rPh>
    <phoneticPr fontId="1"/>
  </si>
  <si>
    <t>～210人</t>
    <rPh sb="4" eb="5">
      <t>ニン</t>
    </rPh>
    <phoneticPr fontId="1"/>
  </si>
  <si>
    <t>夜間保育加算</t>
    <rPh sb="0" eb="2">
      <t>ヤカン</t>
    </rPh>
    <rPh sb="2" eb="4">
      <t>ホイク</t>
    </rPh>
    <rPh sb="4" eb="6">
      <t>カサン</t>
    </rPh>
    <phoneticPr fontId="1"/>
  </si>
  <si>
    <t>チーム保育推進加算</t>
    <rPh sb="3" eb="5">
      <t>ホイク</t>
    </rPh>
    <rPh sb="5" eb="7">
      <t>スイシン</t>
    </rPh>
    <rPh sb="7" eb="9">
      <t>カサン</t>
    </rPh>
    <phoneticPr fontId="1"/>
  </si>
  <si>
    <t>分園の場合</t>
    <rPh sb="0" eb="1">
      <t>ブン</t>
    </rPh>
    <rPh sb="1" eb="2">
      <t>エン</t>
    </rPh>
    <rPh sb="3" eb="5">
      <t>バアイ</t>
    </rPh>
    <phoneticPr fontId="1"/>
  </si>
  <si>
    <t>施設長を配置していない場合</t>
    <rPh sb="0" eb="3">
      <t>シセツチョウ</t>
    </rPh>
    <rPh sb="4" eb="6">
      <t>ハイチ</t>
    </rPh>
    <rPh sb="11" eb="13">
      <t>バアイ</t>
    </rPh>
    <phoneticPr fontId="1"/>
  </si>
  <si>
    <t>該当</t>
  </si>
  <si>
    <t>利用定員数に基づく職員数</t>
    <rPh sb="0" eb="2">
      <t>リヨウ</t>
    </rPh>
    <rPh sb="2" eb="4">
      <t>テイイン</t>
    </rPh>
    <rPh sb="4" eb="5">
      <t>スウ</t>
    </rPh>
    <rPh sb="6" eb="7">
      <t>モト</t>
    </rPh>
    <rPh sb="9" eb="12">
      <t>ショクインスウ</t>
    </rPh>
    <phoneticPr fontId="1"/>
  </si>
  <si>
    <t>（参考）加算見込額（円）</t>
    <phoneticPr fontId="1"/>
  </si>
  <si>
    <t>円　×　加算Ⅲ算定対象人数</t>
    <rPh sb="0" eb="1">
      <t>エン</t>
    </rPh>
    <rPh sb="4" eb="6">
      <t>カサン</t>
    </rPh>
    <rPh sb="7" eb="9">
      <t>サンテイ</t>
    </rPh>
    <rPh sb="9" eb="11">
      <t>タイショウ</t>
    </rPh>
    <rPh sb="11" eb="13">
      <t>ニンズウ</t>
    </rPh>
    <phoneticPr fontId="1"/>
  </si>
  <si>
    <t>休日保育加算を受けている場合</t>
    <rPh sb="0" eb="2">
      <t>キュウジツ</t>
    </rPh>
    <rPh sb="2" eb="4">
      <t>ホイク</t>
    </rPh>
    <rPh sb="4" eb="6">
      <t>カサン</t>
    </rPh>
    <rPh sb="7" eb="8">
      <t>ウ</t>
    </rPh>
    <rPh sb="12" eb="14">
      <t>バアイ</t>
    </rPh>
    <phoneticPr fontId="1"/>
  </si>
  <si>
    <t>211人～279人</t>
    <rPh sb="3" eb="4">
      <t>ニン</t>
    </rPh>
    <rPh sb="8" eb="9">
      <t>ニン</t>
    </rPh>
    <phoneticPr fontId="1"/>
  </si>
  <si>
    <t>280人～349人</t>
    <rPh sb="3" eb="4">
      <t>ニン</t>
    </rPh>
    <rPh sb="8" eb="9">
      <t>ニン</t>
    </rPh>
    <phoneticPr fontId="1"/>
  </si>
  <si>
    <t>350人～419人</t>
    <rPh sb="3" eb="4">
      <t>ニン</t>
    </rPh>
    <rPh sb="8" eb="9">
      <t>ニン</t>
    </rPh>
    <phoneticPr fontId="1"/>
  </si>
  <si>
    <t>420人～489人</t>
    <rPh sb="3" eb="4">
      <t>ニン</t>
    </rPh>
    <rPh sb="8" eb="9">
      <t>ニン</t>
    </rPh>
    <phoneticPr fontId="1"/>
  </si>
  <si>
    <t>490人～559人</t>
    <rPh sb="3" eb="4">
      <t>ニン</t>
    </rPh>
    <rPh sb="8" eb="9">
      <t>ニン</t>
    </rPh>
    <phoneticPr fontId="1"/>
  </si>
  <si>
    <t>560人～629人</t>
    <rPh sb="3" eb="4">
      <t>ニン</t>
    </rPh>
    <rPh sb="8" eb="9">
      <t>ニン</t>
    </rPh>
    <phoneticPr fontId="1"/>
  </si>
  <si>
    <t>630人～699人</t>
    <rPh sb="3" eb="4">
      <t>ニン</t>
    </rPh>
    <rPh sb="8" eb="9">
      <t>ニン</t>
    </rPh>
    <phoneticPr fontId="1"/>
  </si>
  <si>
    <t>700人～769人</t>
    <rPh sb="3" eb="4">
      <t>ニン</t>
    </rPh>
    <rPh sb="8" eb="9">
      <t>ニン</t>
    </rPh>
    <phoneticPr fontId="1"/>
  </si>
  <si>
    <t>770人～839人</t>
    <rPh sb="3" eb="4">
      <t>ニン</t>
    </rPh>
    <rPh sb="8" eb="9">
      <t>ニン</t>
    </rPh>
    <phoneticPr fontId="1"/>
  </si>
  <si>
    <t>840人～909人</t>
    <rPh sb="3" eb="4">
      <t>ニン</t>
    </rPh>
    <rPh sb="8" eb="9">
      <t>ニン</t>
    </rPh>
    <phoneticPr fontId="1"/>
  </si>
  <si>
    <t>910人～979人</t>
    <rPh sb="3" eb="4">
      <t>ニン</t>
    </rPh>
    <rPh sb="8" eb="9">
      <t>ニン</t>
    </rPh>
    <phoneticPr fontId="1"/>
  </si>
  <si>
    <t>980人～1,049人</t>
    <rPh sb="3" eb="4">
      <t>ニン</t>
    </rPh>
    <rPh sb="10" eb="11">
      <t>ニン</t>
    </rPh>
    <phoneticPr fontId="1"/>
  </si>
  <si>
    <t>1,050人～</t>
    <rPh sb="5" eb="6">
      <t>ニン</t>
    </rPh>
    <phoneticPr fontId="1"/>
  </si>
  <si>
    <t>処遇改善等加算Ⅲ　加算Ⅲ算定対象人数計算表（認定こども園）</t>
    <rPh sb="0" eb="2">
      <t>ショグウ</t>
    </rPh>
    <rPh sb="2" eb="4">
      <t>カイゼン</t>
    </rPh>
    <rPh sb="4" eb="5">
      <t>トウ</t>
    </rPh>
    <rPh sb="5" eb="7">
      <t>カサン</t>
    </rPh>
    <rPh sb="9" eb="11">
      <t>カサン</t>
    </rPh>
    <rPh sb="12" eb="14">
      <t>サンテイ</t>
    </rPh>
    <rPh sb="14" eb="16">
      <t>タイショウ</t>
    </rPh>
    <rPh sb="16" eb="18">
      <t>ニンズウ</t>
    </rPh>
    <rPh sb="18" eb="20">
      <t>ケイサン</t>
    </rPh>
    <rPh sb="20" eb="21">
      <t>オモテ</t>
    </rPh>
    <rPh sb="22" eb="24">
      <t>ニン</t>
    </rPh>
    <phoneticPr fontId="1"/>
  </si>
  <si>
    <t>○○○認定こども園</t>
    <rPh sb="3" eb="5">
      <t>ニン</t>
    </rPh>
    <phoneticPr fontId="1"/>
  </si>
  <si>
    <t>１号</t>
    <rPh sb="1" eb="2">
      <t>ゴウ</t>
    </rPh>
    <phoneticPr fontId="1"/>
  </si>
  <si>
    <t>２・３号</t>
    <rPh sb="3" eb="4">
      <t>ゴウ</t>
    </rPh>
    <phoneticPr fontId="1"/>
  </si>
  <si>
    <t>　４歳児以上児</t>
    <rPh sb="2" eb="4">
      <t>サイジ</t>
    </rPh>
    <rPh sb="4" eb="6">
      <t>イジョウ</t>
    </rPh>
    <rPh sb="6" eb="7">
      <t>ジ</t>
    </rPh>
    <phoneticPr fontId="1"/>
  </si>
  <si>
    <t>　３歳児</t>
    <rPh sb="2" eb="3">
      <t>サイ</t>
    </rPh>
    <rPh sb="3" eb="4">
      <t>ジ</t>
    </rPh>
    <phoneticPr fontId="1"/>
  </si>
  <si>
    <t>　　うち満３歳児</t>
    <rPh sb="4" eb="5">
      <t>マン</t>
    </rPh>
    <rPh sb="6" eb="8">
      <t>サイジ</t>
    </rPh>
    <phoneticPr fontId="1"/>
  </si>
  <si>
    <t>　１，２歳児</t>
    <rPh sb="4" eb="6">
      <t>サイジ</t>
    </rPh>
    <phoneticPr fontId="1"/>
  </si>
  <si>
    <t>　０歳児</t>
    <rPh sb="2" eb="4">
      <t>サイジ</t>
    </rPh>
    <phoneticPr fontId="1"/>
  </si>
  <si>
    <t>分園分</t>
    <rPh sb="0" eb="2">
      <t>ブンエン</t>
    </rPh>
    <rPh sb="2" eb="3">
      <t>ブン</t>
    </rPh>
    <phoneticPr fontId="1"/>
  </si>
  <si>
    <t>3歳児（満３歳児含む）</t>
    <rPh sb="1" eb="3">
      <t>サイジ</t>
    </rPh>
    <rPh sb="4" eb="5">
      <t>マン</t>
    </rPh>
    <rPh sb="6" eb="8">
      <t>サイジ</t>
    </rPh>
    <rPh sb="8" eb="9">
      <t>フク</t>
    </rPh>
    <phoneticPr fontId="1"/>
  </si>
  <si>
    <t>　３歳児配置改善加算</t>
    <phoneticPr fontId="1"/>
  </si>
  <si>
    <t>　満３歳児対応加配加算</t>
    <rPh sb="1" eb="2">
      <t>マン</t>
    </rPh>
    <rPh sb="3" eb="4">
      <t>サイ</t>
    </rPh>
    <rPh sb="4" eb="5">
      <t>ジ</t>
    </rPh>
    <rPh sb="5" eb="7">
      <t>タイオウ</t>
    </rPh>
    <rPh sb="7" eb="9">
      <t>カハイ</t>
    </rPh>
    <rPh sb="9" eb="11">
      <t>カサン</t>
    </rPh>
    <phoneticPr fontId="1"/>
  </si>
  <si>
    <t>なし</t>
  </si>
  <si>
    <t>b</t>
    <phoneticPr fontId="1"/>
  </si>
  <si>
    <t>休けい保育教諭</t>
    <rPh sb="0" eb="1">
      <t>キュウ</t>
    </rPh>
    <rPh sb="3" eb="5">
      <t>ホイク</t>
    </rPh>
    <rPh sb="5" eb="7">
      <t>キョウユ</t>
    </rPh>
    <phoneticPr fontId="1"/>
  </si>
  <si>
    <t>調理員</t>
    <rPh sb="0" eb="3">
      <t>チョウリイン</t>
    </rPh>
    <phoneticPr fontId="1"/>
  </si>
  <si>
    <t>d</t>
    <phoneticPr fontId="1"/>
  </si>
  <si>
    <t>e</t>
    <phoneticPr fontId="1"/>
  </si>
  <si>
    <t>学級編制調整加配加算</t>
    <rPh sb="0" eb="2">
      <t>ガッキュウ</t>
    </rPh>
    <rPh sb="2" eb="4">
      <t>ヘンセイ</t>
    </rPh>
    <rPh sb="4" eb="6">
      <t>チョウセイ</t>
    </rPh>
    <rPh sb="6" eb="8">
      <t>カハイ</t>
    </rPh>
    <rPh sb="8" eb="10">
      <t>カサン</t>
    </rPh>
    <phoneticPr fontId="1"/>
  </si>
  <si>
    <t>f</t>
    <phoneticPr fontId="1"/>
  </si>
  <si>
    <t>j</t>
  </si>
  <si>
    <t>夜間保育加算</t>
    <rPh sb="0" eb="4">
      <t>ヤカンホイク</t>
    </rPh>
    <rPh sb="4" eb="6">
      <t>カサン</t>
    </rPh>
    <phoneticPr fontId="1"/>
  </si>
  <si>
    <t>l</t>
    <phoneticPr fontId="1"/>
  </si>
  <si>
    <t>n</t>
    <phoneticPr fontId="1"/>
  </si>
  <si>
    <t>o</t>
    <phoneticPr fontId="1"/>
  </si>
  <si>
    <t>p</t>
    <phoneticPr fontId="1"/>
  </si>
  <si>
    <t>q</t>
    <phoneticPr fontId="1"/>
  </si>
  <si>
    <t>主任保育教諭等の専任化により子育て支援の取組を実施していない場合であって、代替保育教諭等を配置していない場合</t>
    <rPh sb="0" eb="2">
      <t>シュニン</t>
    </rPh>
    <rPh sb="2" eb="4">
      <t>ホイク</t>
    </rPh>
    <rPh sb="4" eb="6">
      <t>キョウユ</t>
    </rPh>
    <rPh sb="6" eb="7">
      <t>トウ</t>
    </rPh>
    <rPh sb="8" eb="10">
      <t>センニン</t>
    </rPh>
    <rPh sb="10" eb="11">
      <t>カ</t>
    </rPh>
    <rPh sb="14" eb="17">
      <t>コソ</t>
    </rPh>
    <rPh sb="17" eb="19">
      <t>シエン</t>
    </rPh>
    <rPh sb="20" eb="22">
      <t>トリクミ</t>
    </rPh>
    <rPh sb="23" eb="25">
      <t>ジッシ</t>
    </rPh>
    <rPh sb="30" eb="32">
      <t>バアイ</t>
    </rPh>
    <rPh sb="37" eb="39">
      <t>ダイタイ</t>
    </rPh>
    <rPh sb="39" eb="41">
      <t>ホイク</t>
    </rPh>
    <rPh sb="41" eb="43">
      <t>キョウユ</t>
    </rPh>
    <rPh sb="43" eb="44">
      <t>トウ</t>
    </rPh>
    <rPh sb="45" eb="47">
      <t>ハイチ</t>
    </rPh>
    <rPh sb="52" eb="54">
      <t>バアイ</t>
    </rPh>
    <phoneticPr fontId="1"/>
  </si>
  <si>
    <t>１号及び２・３号</t>
  </si>
  <si>
    <t>r</t>
    <phoneticPr fontId="1"/>
  </si>
  <si>
    <t>年齢別配置基準を下回る場合</t>
    <rPh sb="0" eb="3">
      <t>ネンレイベツ</t>
    </rPh>
    <rPh sb="3" eb="7">
      <t>ハイキ</t>
    </rPh>
    <rPh sb="8" eb="10">
      <t>シタマワ</t>
    </rPh>
    <rPh sb="11" eb="13">
      <t>バアイ</t>
    </rPh>
    <phoneticPr fontId="1"/>
  </si>
  <si>
    <t>s</t>
    <phoneticPr fontId="1"/>
  </si>
  <si>
    <t>１号認定こどもの利用定員を設定しない場合</t>
    <rPh sb="1" eb="2">
      <t>ゴウ</t>
    </rPh>
    <rPh sb="2" eb="4">
      <t>ニンテイ</t>
    </rPh>
    <rPh sb="8" eb="12">
      <t>リヨウテイイン</t>
    </rPh>
    <rPh sb="13" eb="15">
      <t>セッテイ</t>
    </rPh>
    <rPh sb="18" eb="20">
      <t>バアイ</t>
    </rPh>
    <phoneticPr fontId="1"/>
  </si>
  <si>
    <t>t</t>
    <phoneticPr fontId="1"/>
  </si>
  <si>
    <t>利用定員数に基づく職員数（１号）</t>
    <rPh sb="0" eb="2">
      <t>リヨウ</t>
    </rPh>
    <rPh sb="2" eb="4">
      <t>テイイン</t>
    </rPh>
    <rPh sb="4" eb="5">
      <t>スウ</t>
    </rPh>
    <rPh sb="6" eb="7">
      <t>モト</t>
    </rPh>
    <rPh sb="9" eb="11">
      <t>ショクイン</t>
    </rPh>
    <rPh sb="11" eb="12">
      <t>スウ</t>
    </rPh>
    <rPh sb="14" eb="15">
      <t>ゴウ</t>
    </rPh>
    <phoneticPr fontId="1"/>
  </si>
  <si>
    <t>利用定員数に基づく職員数（２・３号）</t>
    <rPh sb="0" eb="2">
      <t>リヨウ</t>
    </rPh>
    <rPh sb="2" eb="4">
      <t>テイイン</t>
    </rPh>
    <rPh sb="4" eb="5">
      <t>スウ</t>
    </rPh>
    <rPh sb="6" eb="7">
      <t>モト</t>
    </rPh>
    <rPh sb="9" eb="12">
      <t>ショクインスウ</t>
    </rPh>
    <rPh sb="16" eb="17">
      <t>ゴウ</t>
    </rPh>
    <phoneticPr fontId="1"/>
  </si>
  <si>
    <t>処遇改善等加算Ⅲ　加算Ⅲ算定対象人数計算表</t>
    <rPh sb="0" eb="2">
      <t>ショグウ</t>
    </rPh>
    <rPh sb="2" eb="4">
      <t>カイゼン</t>
    </rPh>
    <rPh sb="4" eb="5">
      <t>トウ</t>
    </rPh>
    <rPh sb="5" eb="7">
      <t>カサン</t>
    </rPh>
    <rPh sb="9" eb="11">
      <t>カサン</t>
    </rPh>
    <rPh sb="12" eb="14">
      <t>サンテイ</t>
    </rPh>
    <rPh sb="14" eb="16">
      <t>タイショウ</t>
    </rPh>
    <rPh sb="16" eb="18">
      <t>ニンズウ</t>
    </rPh>
    <rPh sb="18" eb="20">
      <t>ケイサン</t>
    </rPh>
    <rPh sb="20" eb="21">
      <t>オモテ</t>
    </rPh>
    <phoneticPr fontId="1"/>
  </si>
  <si>
    <t>（家庭的保育事業）</t>
    <rPh sb="1" eb="4">
      <t>カテイテキ</t>
    </rPh>
    <rPh sb="4" eb="6">
      <t>ホイク</t>
    </rPh>
    <rPh sb="6" eb="8">
      <t>ジギョウ</t>
    </rPh>
    <phoneticPr fontId="1"/>
  </si>
  <si>
    <t>a</t>
    <phoneticPr fontId="1"/>
  </si>
  <si>
    <t>家庭的保育補助者加算</t>
    <rPh sb="0" eb="3">
      <t>カテイテキ</t>
    </rPh>
    <rPh sb="3" eb="5">
      <t>ホイク</t>
    </rPh>
    <rPh sb="5" eb="8">
      <t>ホジョシャ</t>
    </rPh>
    <rPh sb="8" eb="10">
      <t>カサン</t>
    </rPh>
    <phoneticPr fontId="1"/>
  </si>
  <si>
    <t>４人以上</t>
  </si>
  <si>
    <t>障害児保育加算</t>
    <rPh sb="0" eb="2">
      <t>ショウガイ</t>
    </rPh>
    <rPh sb="2" eb="3">
      <t>ジ</t>
    </rPh>
    <rPh sb="3" eb="5">
      <t>ホイク</t>
    </rPh>
    <rPh sb="5" eb="7">
      <t>カサン</t>
    </rPh>
    <phoneticPr fontId="1"/>
  </si>
  <si>
    <t>c</t>
    <phoneticPr fontId="1"/>
  </si>
  <si>
    <t>食事の提供について自園調理又は連携施設
からの搬入以外に方法による減算</t>
    <rPh sb="0" eb="2">
      <t>ショクジ</t>
    </rPh>
    <rPh sb="3" eb="5">
      <t>テイキョウ</t>
    </rPh>
    <rPh sb="9" eb="10">
      <t>ジ</t>
    </rPh>
    <rPh sb="10" eb="11">
      <t>エン</t>
    </rPh>
    <rPh sb="11" eb="13">
      <t>チョウリ</t>
    </rPh>
    <rPh sb="13" eb="14">
      <t>マタ</t>
    </rPh>
    <rPh sb="15" eb="17">
      <t>レンケイ</t>
    </rPh>
    <rPh sb="17" eb="19">
      <t>シセツ</t>
    </rPh>
    <rPh sb="23" eb="25">
      <t>ハンニュウ</t>
    </rPh>
    <rPh sb="25" eb="27">
      <t>イガイ</t>
    </rPh>
    <rPh sb="28" eb="30">
      <t>ホウホウ</t>
    </rPh>
    <rPh sb="33" eb="35">
      <t>ゲンサン</t>
    </rPh>
    <phoneticPr fontId="1"/>
  </si>
  <si>
    <t>加算</t>
    <rPh sb="0" eb="2">
      <t>カサン</t>
    </rPh>
    <phoneticPr fontId="1"/>
  </si>
  <si>
    <t>（小規模保育所A型、Ｂ型）</t>
  </si>
  <si>
    <r>
      <t>４歳以上児</t>
    </r>
    <r>
      <rPr>
        <sz val="11"/>
        <color indexed="10"/>
        <rFont val="HG丸ｺﾞｼｯｸM-PRO"/>
        <family val="3"/>
        <charset val="128"/>
      </rPr>
      <t>（特例給付対象児童）</t>
    </r>
    <r>
      <rPr>
        <sz val="11"/>
        <color indexed="8"/>
        <rFont val="HG丸ｺﾞｼｯｸM-PRO"/>
        <family val="3"/>
        <charset val="128"/>
      </rPr>
      <t xml:space="preserve">
</t>
    </r>
    <r>
      <rPr>
        <sz val="10"/>
        <color indexed="8"/>
        <rFont val="HG丸ｺﾞｼｯｸM-PRO"/>
        <family val="3"/>
        <charset val="128"/>
      </rPr>
      <t>※障害児保育加算ありの場合障害児を除いた数</t>
    </r>
    <rPh sb="1" eb="4">
      <t>サイイジョウ</t>
    </rPh>
    <rPh sb="4" eb="5">
      <t>ジ</t>
    </rPh>
    <rPh sb="6" eb="8">
      <t>トクレイ</t>
    </rPh>
    <rPh sb="8" eb="10">
      <t>キュウフ</t>
    </rPh>
    <rPh sb="10" eb="12">
      <t>タイショウ</t>
    </rPh>
    <rPh sb="12" eb="14">
      <t>ジドウ</t>
    </rPh>
    <rPh sb="17" eb="20">
      <t>ショウガイジ</t>
    </rPh>
    <rPh sb="20" eb="22">
      <t>ホイク</t>
    </rPh>
    <rPh sb="22" eb="24">
      <t>カサン</t>
    </rPh>
    <rPh sb="27" eb="29">
      <t>バアイ</t>
    </rPh>
    <rPh sb="29" eb="32">
      <t>ショウガイジ</t>
    </rPh>
    <rPh sb="33" eb="34">
      <t>ノゾ</t>
    </rPh>
    <rPh sb="36" eb="37">
      <t>カズ</t>
    </rPh>
    <phoneticPr fontId="25"/>
  </si>
  <si>
    <r>
      <t>３歳児</t>
    </r>
    <r>
      <rPr>
        <sz val="11"/>
        <color indexed="10"/>
        <rFont val="HG丸ｺﾞｼｯｸM-PRO"/>
        <family val="3"/>
        <charset val="128"/>
      </rPr>
      <t>（特例給付対象児童）</t>
    </r>
    <r>
      <rPr>
        <sz val="11"/>
        <color indexed="8"/>
        <rFont val="HG丸ｺﾞｼｯｸM-PRO"/>
        <family val="3"/>
        <charset val="128"/>
      </rPr>
      <t xml:space="preserve">
</t>
    </r>
    <r>
      <rPr>
        <sz val="10"/>
        <color indexed="8"/>
        <rFont val="HG丸ｺﾞｼｯｸM-PRO"/>
        <family val="3"/>
        <charset val="128"/>
      </rPr>
      <t>※障害児保育加算ありの場合障害児を除いた数</t>
    </r>
    <rPh sb="1" eb="3">
      <t>サイジ</t>
    </rPh>
    <rPh sb="4" eb="6">
      <t>トクレイ</t>
    </rPh>
    <rPh sb="6" eb="8">
      <t>キュウフ</t>
    </rPh>
    <rPh sb="8" eb="10">
      <t>タイショウ</t>
    </rPh>
    <rPh sb="10" eb="12">
      <t>ジドウ</t>
    </rPh>
    <rPh sb="15" eb="18">
      <t>ショウガイジ</t>
    </rPh>
    <rPh sb="18" eb="20">
      <t>ホイク</t>
    </rPh>
    <rPh sb="20" eb="22">
      <t>カサン</t>
    </rPh>
    <rPh sb="25" eb="27">
      <t>バアイ</t>
    </rPh>
    <rPh sb="27" eb="30">
      <t>ショウガイジ</t>
    </rPh>
    <rPh sb="31" eb="32">
      <t>ノゾ</t>
    </rPh>
    <rPh sb="34" eb="35">
      <t>カズ</t>
    </rPh>
    <phoneticPr fontId="25"/>
  </si>
  <si>
    <r>
      <t xml:space="preserve">１，２歳児
</t>
    </r>
    <r>
      <rPr>
        <sz val="10"/>
        <color theme="1"/>
        <rFont val="HG丸ｺﾞｼｯｸM-PRO"/>
        <family val="3"/>
        <charset val="128"/>
      </rPr>
      <t>※障害児保育加算ありの場合障害児を除いた数</t>
    </r>
    <rPh sb="3" eb="5">
      <t>サイジ</t>
    </rPh>
    <rPh sb="7" eb="10">
      <t>ショウガイジ</t>
    </rPh>
    <rPh sb="10" eb="12">
      <t>ホイク</t>
    </rPh>
    <rPh sb="12" eb="14">
      <t>カサン</t>
    </rPh>
    <rPh sb="17" eb="19">
      <t>バアイ</t>
    </rPh>
    <rPh sb="19" eb="22">
      <t>ショウガイジ</t>
    </rPh>
    <rPh sb="23" eb="24">
      <t>ノゾ</t>
    </rPh>
    <rPh sb="26" eb="27">
      <t>カズ</t>
    </rPh>
    <phoneticPr fontId="25"/>
  </si>
  <si>
    <r>
      <t xml:space="preserve">０歳児
</t>
    </r>
    <r>
      <rPr>
        <sz val="10"/>
        <color theme="1"/>
        <rFont val="HG丸ｺﾞｼｯｸM-PRO"/>
        <family val="3"/>
        <charset val="128"/>
      </rPr>
      <t>※障害児保育加算ありの場合障害児を除いた数</t>
    </r>
    <rPh sb="1" eb="3">
      <t>サイジ</t>
    </rPh>
    <phoneticPr fontId="1"/>
  </si>
  <si>
    <t>障害児（障害児保育加算ありの場合）</t>
    <rPh sb="0" eb="3">
      <t>ショウガイジ</t>
    </rPh>
    <rPh sb="4" eb="7">
      <t>ショウガイジ</t>
    </rPh>
    <rPh sb="7" eb="9">
      <t>ホイク</t>
    </rPh>
    <rPh sb="9" eb="11">
      <t>カサン</t>
    </rPh>
    <rPh sb="14" eb="16">
      <t>バアイ</t>
    </rPh>
    <phoneticPr fontId="1"/>
  </si>
  <si>
    <t>調整</t>
    <rPh sb="0" eb="2">
      <t>チョウセイ</t>
    </rPh>
    <phoneticPr fontId="1"/>
  </si>
  <si>
    <t>管理者を配置していない場合</t>
    <rPh sb="0" eb="3">
      <t>カンリシャ</t>
    </rPh>
    <rPh sb="4" eb="6">
      <t>ハイチ</t>
    </rPh>
    <rPh sb="11" eb="13">
      <t>バアイ</t>
    </rPh>
    <phoneticPr fontId="1"/>
  </si>
  <si>
    <t>（小規模保育所Ｃ型）</t>
    <phoneticPr fontId="1"/>
  </si>
  <si>
    <r>
      <t xml:space="preserve"> 児童数</t>
    </r>
    <r>
      <rPr>
        <sz val="11"/>
        <color rgb="FFFF0000"/>
        <rFont val="HG丸ｺﾞｼｯｸM-PRO"/>
        <family val="3"/>
        <charset val="128"/>
      </rPr>
      <t>（特例給付対象児童含む）</t>
    </r>
    <rPh sb="1" eb="4">
      <t>ジドウスウ</t>
    </rPh>
    <phoneticPr fontId="1"/>
  </si>
  <si>
    <t>　家庭的補助者配置</t>
    <rPh sb="1" eb="4">
      <t>カテイテキ</t>
    </rPh>
    <rPh sb="4" eb="7">
      <t>ホジョシャ</t>
    </rPh>
    <rPh sb="7" eb="9">
      <t>ハイチ</t>
    </rPh>
    <phoneticPr fontId="1"/>
  </si>
  <si>
    <t>障害児保育加算</t>
    <rPh sb="0" eb="3">
      <t>ショウガイジ</t>
    </rPh>
    <rPh sb="3" eb="5">
      <t>ホイク</t>
    </rPh>
    <rPh sb="5" eb="7">
      <t>カサン</t>
    </rPh>
    <phoneticPr fontId="1"/>
  </si>
  <si>
    <t xml:space="preserve"> グループの利用子ども数（障害児除く）</t>
    <rPh sb="6" eb="8">
      <t>リヨウ</t>
    </rPh>
    <rPh sb="8" eb="9">
      <t>コ</t>
    </rPh>
    <rPh sb="11" eb="12">
      <t>スウ</t>
    </rPh>
    <rPh sb="13" eb="16">
      <t>ショウガイジ</t>
    </rPh>
    <rPh sb="16" eb="17">
      <t>ノゾ</t>
    </rPh>
    <phoneticPr fontId="1"/>
  </si>
  <si>
    <t xml:space="preserve"> 障害児</t>
    <rPh sb="1" eb="4">
      <t>ショウガイジ</t>
    </rPh>
    <phoneticPr fontId="1"/>
  </si>
  <si>
    <t>（事業所内保育所　定員２０人以上）</t>
    <rPh sb="1" eb="4">
      <t>ジギョウショ</t>
    </rPh>
    <rPh sb="4" eb="5">
      <t>ナイ</t>
    </rPh>
    <rPh sb="9" eb="11">
      <t>テイイン</t>
    </rPh>
    <rPh sb="13" eb="16">
      <t>ニンイジョウ</t>
    </rPh>
    <phoneticPr fontId="1"/>
  </si>
  <si>
    <r>
      <t xml:space="preserve">１，２歳児
</t>
    </r>
    <r>
      <rPr>
        <sz val="10"/>
        <color theme="1"/>
        <rFont val="HG丸ｺﾞｼｯｸM-PRO"/>
        <family val="3"/>
        <charset val="128"/>
      </rPr>
      <t>※障害児保育加算ありの場合障害児を除いた数</t>
    </r>
    <rPh sb="3" eb="5">
      <t>サイジ</t>
    </rPh>
    <rPh sb="7" eb="10">
      <t>ショウガイジ</t>
    </rPh>
    <rPh sb="10" eb="12">
      <t>ホイク</t>
    </rPh>
    <rPh sb="12" eb="14">
      <t>カサン</t>
    </rPh>
    <rPh sb="17" eb="19">
      <t>バアイ</t>
    </rPh>
    <rPh sb="19" eb="22">
      <t>ショウガイジ</t>
    </rPh>
    <rPh sb="23" eb="24">
      <t>ノゾ</t>
    </rPh>
    <rPh sb="26" eb="27">
      <t>カズ</t>
    </rPh>
    <phoneticPr fontId="1"/>
  </si>
  <si>
    <t>利用定員数に基づく職員数</t>
  </si>
  <si>
    <t>（居宅訪問型保育事業）</t>
    <rPh sb="1" eb="3">
      <t>キョタク</t>
    </rPh>
    <rPh sb="3" eb="5">
      <t>ホウモン</t>
    </rPh>
    <rPh sb="5" eb="6">
      <t>ガタ</t>
    </rPh>
    <rPh sb="6" eb="8">
      <t>ホイク</t>
    </rPh>
    <rPh sb="8" eb="10">
      <t>ジギョウ</t>
    </rPh>
    <phoneticPr fontId="1"/>
  </si>
  <si>
    <t>特定の日に保育を行わない場合</t>
    <rPh sb="0" eb="2">
      <t>トクテイ</t>
    </rPh>
    <rPh sb="3" eb="4">
      <t>ヒ</t>
    </rPh>
    <rPh sb="5" eb="7">
      <t>ホイク</t>
    </rPh>
    <rPh sb="8" eb="9">
      <t>オコナ</t>
    </rPh>
    <rPh sb="12" eb="14">
      <t>バアイ</t>
    </rPh>
    <phoneticPr fontId="1"/>
  </si>
  <si>
    <t>4歳以上児配置改善加算</t>
    <rPh sb="1" eb="4">
      <t>サイイジョウ</t>
    </rPh>
    <rPh sb="4" eb="5">
      <t>ジ</t>
    </rPh>
    <rPh sb="5" eb="7">
      <t>ハイチ</t>
    </rPh>
    <rPh sb="7" eb="9">
      <t>カイゼン</t>
    </rPh>
    <rPh sb="9" eb="11">
      <t>カサン</t>
    </rPh>
    <phoneticPr fontId="1"/>
  </si>
  <si>
    <t>　4歳以上児配置改善加算</t>
    <rPh sb="2" eb="5">
      <t>サイイジョウ</t>
    </rPh>
    <rPh sb="5" eb="6">
      <t>ジ</t>
    </rPh>
    <rPh sb="6" eb="8">
      <t>ハイチ</t>
    </rPh>
    <rPh sb="8" eb="10">
      <t>カイゼン</t>
    </rPh>
    <rPh sb="10" eb="12">
      <t>カサン</t>
    </rPh>
    <phoneticPr fontId="1"/>
  </si>
  <si>
    <t>　４歳以上児配置改善加算</t>
    <rPh sb="3" eb="5">
      <t>イジョウ</t>
    </rPh>
    <phoneticPr fontId="1"/>
  </si>
  <si>
    <t>（事業所内保育所　小規模A型、Ｂ型適用）</t>
    <rPh sb="1" eb="4">
      <t>ジギョウショ</t>
    </rPh>
    <rPh sb="4" eb="5">
      <t>ナイ</t>
    </rPh>
    <rPh sb="9" eb="12">
      <t>ショウキボ</t>
    </rPh>
    <rPh sb="17" eb="19">
      <t>テキヨウ</t>
    </rPh>
    <phoneticPr fontId="1"/>
  </si>
  <si>
    <r>
      <t xml:space="preserve">別途配布している「年齢別児童数計算表」により計算した児童数を入力すること。
</t>
    </r>
    <r>
      <rPr>
        <sz val="11"/>
        <color rgb="FFFF0000"/>
        <rFont val="HG丸ｺﾞｼｯｸM-PRO"/>
        <family val="3"/>
        <charset val="128"/>
      </rPr>
      <t>特例給付を受けて利用する児童がいる場合は、該当する年齢区分に含めること。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</si>
</sst>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_);[Red]\(0.0\)"/>
    <numFmt numFmtId="178" formatCode="0.00_);[Red]\(0.00\)"/>
    <numFmt numFmtId="179" formatCode="0.000_);[Red]\(0.000\)"/>
    <numFmt numFmtId="180" formatCode="0.0_ ;[Red]\-0.0\ "/>
    <numFmt numFmtId="181" formatCode="#,##0_);[Red]\(#,##0\)"/>
  </numFmts>
  <fonts count="3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14"/>
      <color theme="1"/>
      <name val="游ゴシック"/>
      <family val="2"/>
      <charset val="128"/>
      <scheme val="minor"/>
    </font>
    <font>
      <sz val="14"/>
      <color theme="1"/>
      <name val="HG丸ｺﾞｼｯｸM-PRO"/>
      <family val="3"/>
      <charset val="128"/>
    </font>
    <font>
      <sz val="11"/>
      <color theme="1"/>
      <name val="HG丸ｺﾞｼｯｸM-PRO"/>
      <family val="3"/>
      <charset val="128"/>
    </font>
    <font>
      <sz val="9"/>
      <color theme="1"/>
      <name val="HG丸ｺﾞｼｯｸM-PRO"/>
      <family val="3"/>
      <charset val="128"/>
    </font>
    <font>
      <sz val="11"/>
      <name val="HG丸ｺﾞｼｯｸM-PRO"/>
      <family val="3"/>
      <charset val="128"/>
    </font>
    <font>
      <sz val="10"/>
      <color theme="1"/>
      <name val="HG丸ｺﾞｼｯｸM-PRO"/>
      <family val="3"/>
      <charset val="128"/>
    </font>
    <font>
      <sz val="11"/>
      <color theme="2" tint="-0.249977111117893"/>
      <name val="HG丸ｺﾞｼｯｸM-PRO"/>
      <family val="3"/>
      <charset val="128"/>
    </font>
    <font>
      <sz val="12"/>
      <color theme="1"/>
      <name val="HG丸ｺﾞｼｯｸM-PRO"/>
      <family val="3"/>
      <charset val="128"/>
    </font>
    <font>
      <sz val="16"/>
      <color theme="1"/>
      <name val="HG丸ｺﾞｼｯｸM-PRO"/>
      <family val="3"/>
      <charset val="128"/>
    </font>
    <font>
      <sz val="10"/>
      <name val="HG丸ｺﾞｼｯｸM-PRO"/>
      <family val="3"/>
      <charset val="128"/>
    </font>
    <font>
      <b/>
      <sz val="12"/>
      <color theme="1"/>
      <name val="HG丸ｺﾞｼｯｸM-PRO"/>
      <family val="3"/>
      <charset val="128"/>
    </font>
    <font>
      <b/>
      <sz val="12"/>
      <name val="HG丸ｺﾞｼｯｸM-PRO"/>
      <family val="3"/>
      <charset val="128"/>
    </font>
    <font>
      <sz val="12"/>
      <color theme="2" tint="-0.249977111117893"/>
      <name val="HG丸ｺﾞｼｯｸM-PRO"/>
      <family val="3"/>
      <charset val="128"/>
    </font>
    <font>
      <sz val="12"/>
      <color indexed="81"/>
      <name val="MS P ゴシック"/>
      <family val="3"/>
      <charset val="128"/>
    </font>
    <font>
      <b/>
      <sz val="11"/>
      <name val="HG丸ｺﾞｼｯｸM-PRO"/>
      <family val="3"/>
      <charset val="128"/>
    </font>
    <font>
      <sz val="11"/>
      <color theme="0" tint="-0.249977111117893"/>
      <name val="HG丸ｺﾞｼｯｸM-PRO"/>
      <family val="3"/>
      <charset val="128"/>
    </font>
    <font>
      <sz val="11"/>
      <color theme="1"/>
      <name val="游ゴシック"/>
      <family val="2"/>
      <charset val="128"/>
      <scheme val="minor"/>
    </font>
    <font>
      <sz val="11"/>
      <color theme="2" tint="-0.499984740745262"/>
      <name val="HG丸ｺﾞｼｯｸM-PRO"/>
      <family val="3"/>
      <charset val="128"/>
    </font>
    <font>
      <sz val="10"/>
      <color indexed="81"/>
      <name val="ＭＳ Ｐゴシック"/>
      <family val="3"/>
      <charset val="128"/>
    </font>
    <font>
      <b/>
      <sz val="11"/>
      <color theme="1"/>
      <name val="HG丸ｺﾞｼｯｸM-PRO"/>
      <family val="3"/>
      <charset val="128"/>
    </font>
    <font>
      <sz val="12"/>
      <color indexed="81"/>
      <name val="ＭＳ Ｐゴシック"/>
      <family val="3"/>
      <charset val="128"/>
    </font>
    <font>
      <sz val="11"/>
      <color rgb="FFFF0000"/>
      <name val="HG丸ｺﾞｼｯｸM-PRO"/>
      <family val="3"/>
      <charset val="128"/>
    </font>
    <font>
      <sz val="6"/>
      <name val="游ゴシック"/>
      <family val="3"/>
      <charset val="128"/>
    </font>
    <font>
      <sz val="11"/>
      <color indexed="10"/>
      <name val="HG丸ｺﾞｼｯｸM-PRO"/>
      <family val="3"/>
      <charset val="128"/>
    </font>
    <font>
      <sz val="11"/>
      <color indexed="8"/>
      <name val="HG丸ｺﾞｼｯｸM-PRO"/>
      <family val="3"/>
      <charset val="128"/>
    </font>
    <font>
      <sz val="10"/>
      <color indexed="8"/>
      <name val="HG丸ｺﾞｼｯｸM-PRO"/>
      <family val="3"/>
      <charset val="128"/>
    </font>
    <font>
      <sz val="11"/>
      <color indexed="81"/>
      <name val="MS P ゴシック"/>
      <family val="3"/>
      <charset val="128"/>
    </font>
    <font>
      <sz val="11"/>
      <color theme="1"/>
      <name val="HG丸ｺﾞｼｯｸM-PRO"/>
      <family val="3"/>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FFC000"/>
        <bgColor indexed="64"/>
      </patternFill>
    </fill>
    <fill>
      <patternFill patternType="solid">
        <fgColor rgb="FFA0FF21"/>
        <bgColor indexed="64"/>
      </patternFill>
    </fill>
    <fill>
      <patternFill patternType="solid">
        <fgColor theme="0" tint="-4.9989318521683403E-2"/>
        <bgColor indexed="64"/>
      </patternFill>
    </fill>
  </fills>
  <borders count="14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style="hair">
        <color indexed="64"/>
      </top>
      <bottom/>
      <diagonal/>
    </border>
    <border>
      <left style="medium">
        <color indexed="64"/>
      </left>
      <right style="medium">
        <color indexed="64"/>
      </right>
      <top/>
      <bottom style="thin">
        <color indexed="64"/>
      </bottom>
      <diagonal/>
    </border>
    <border diagonalUp="1">
      <left style="thin">
        <color indexed="64"/>
      </left>
      <right/>
      <top/>
      <bottom style="double">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double">
        <color indexed="64"/>
      </bottom>
      <diagonal/>
    </border>
    <border diagonalUp="1">
      <left style="thin">
        <color indexed="64"/>
      </left>
      <right/>
      <top/>
      <bottom/>
      <diagonal style="thin">
        <color indexed="64"/>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double">
        <color indexed="64"/>
      </bottom>
      <diagonal/>
    </border>
    <border>
      <left/>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style="medium">
        <color indexed="64"/>
      </right>
      <top style="medium">
        <color indexed="64"/>
      </top>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right/>
      <top/>
      <bottom style="hair">
        <color indexed="64"/>
      </bottom>
      <diagonal/>
    </border>
    <border>
      <left/>
      <right/>
      <top style="hair">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diagonal style="thin">
        <color indexed="64"/>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left style="thin">
        <color indexed="64"/>
      </left>
      <right style="thin">
        <color indexed="64"/>
      </right>
      <top style="hair">
        <color indexed="64"/>
      </top>
      <bottom style="double">
        <color indexed="64"/>
      </bottom>
      <diagonal/>
    </border>
    <border diagonalUp="1">
      <left style="thin">
        <color indexed="64"/>
      </left>
      <right style="medium">
        <color indexed="64"/>
      </right>
      <top style="hair">
        <color indexed="64"/>
      </top>
      <bottom style="double">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top style="double">
        <color indexed="64"/>
      </top>
      <bottom style="thin">
        <color indexed="64"/>
      </bottom>
      <diagonal/>
    </border>
    <border>
      <left style="medium">
        <color indexed="64"/>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hair">
        <color indexed="64"/>
      </left>
      <right style="thin">
        <color indexed="64"/>
      </right>
      <top/>
      <bottom style="hair">
        <color indexed="64"/>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457">
    <xf numFmtId="0" fontId="0" fillId="0" borderId="0" xfId="0">
      <alignment vertical="center"/>
    </xf>
    <xf numFmtId="176" fontId="5" fillId="5" borderId="1" xfId="0" applyNumberFormat="1" applyFont="1" applyFill="1" applyBorder="1" applyAlignment="1" applyProtection="1">
      <alignment horizontal="right" vertical="center"/>
      <protection locked="0"/>
    </xf>
    <xf numFmtId="176" fontId="5" fillId="5" borderId="88" xfId="0" applyNumberFormat="1" applyFont="1" applyFill="1" applyBorder="1" applyAlignment="1" applyProtection="1">
      <alignment horizontal="right" vertical="center"/>
      <protection locked="0"/>
    </xf>
    <xf numFmtId="0" fontId="5" fillId="4" borderId="4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11" fillId="0" borderId="0" xfId="0" applyFont="1" applyProtection="1">
      <alignment vertical="center"/>
      <protection locked="0"/>
    </xf>
    <xf numFmtId="0" fontId="4" fillId="0" borderId="0" xfId="0" applyFont="1" applyProtection="1">
      <alignment vertical="center"/>
      <protection locked="0"/>
    </xf>
    <xf numFmtId="176" fontId="4" fillId="0" borderId="0" xfId="0" applyNumberFormat="1" applyFont="1" applyProtection="1">
      <alignment vertical="center"/>
      <protection locked="0"/>
    </xf>
    <xf numFmtId="0" fontId="3" fillId="0" borderId="0" xfId="0" applyFont="1" applyProtection="1">
      <alignment vertical="center"/>
      <protection locked="0"/>
    </xf>
    <xf numFmtId="0" fontId="5" fillId="0" borderId="0" xfId="0" applyFont="1" applyProtection="1">
      <alignment vertical="center"/>
      <protection locked="0"/>
    </xf>
    <xf numFmtId="176" fontId="5" fillId="0" borderId="0" xfId="0" applyNumberFormat="1" applyFont="1" applyProtection="1">
      <alignment vertical="center"/>
      <protection locked="0"/>
    </xf>
    <xf numFmtId="0" fontId="0" fillId="0" borderId="0" xfId="0" applyProtection="1">
      <alignment vertical="center"/>
      <protection locked="0"/>
    </xf>
    <xf numFmtId="0" fontId="5" fillId="0" borderId="0" xfId="0" applyFont="1" applyAlignment="1" applyProtection="1">
      <alignment horizontal="center" vertical="center"/>
      <protection locked="0"/>
    </xf>
    <xf numFmtId="0" fontId="13" fillId="0" borderId="0" xfId="0" applyFont="1" applyProtection="1">
      <alignment vertical="center"/>
      <protection locked="0"/>
    </xf>
    <xf numFmtId="0" fontId="5" fillId="0" borderId="2" xfId="0" applyFont="1" applyBorder="1" applyAlignment="1" applyProtection="1">
      <alignment horizontal="center" vertical="center" wrapText="1"/>
      <protection locked="0"/>
    </xf>
    <xf numFmtId="0" fontId="5" fillId="0" borderId="0" xfId="0" applyFont="1" applyAlignment="1" applyProtection="1">
      <alignment horizontal="left" vertical="center"/>
      <protection locked="0"/>
    </xf>
    <xf numFmtId="176" fontId="5" fillId="0" borderId="0" xfId="0" applyNumberFormat="1" applyFont="1" applyAlignment="1" applyProtection="1">
      <alignment horizontal="right" vertical="center"/>
      <protection locked="0"/>
    </xf>
    <xf numFmtId="0" fontId="5" fillId="0" borderId="5" xfId="0" applyFont="1" applyBorder="1" applyProtection="1">
      <alignment vertical="center"/>
      <protection locked="0"/>
    </xf>
    <xf numFmtId="0" fontId="5" fillId="0" borderId="4" xfId="0" applyFont="1" applyBorder="1" applyAlignment="1" applyProtection="1">
      <alignment horizontal="center" vertical="center" wrapText="1"/>
      <protection locked="0"/>
    </xf>
    <xf numFmtId="176" fontId="5" fillId="0" borderId="19" xfId="0" applyNumberFormat="1" applyFont="1" applyBorder="1" applyAlignment="1" applyProtection="1">
      <alignment horizontal="center" vertical="center" wrapText="1"/>
      <protection locked="0"/>
    </xf>
    <xf numFmtId="0" fontId="5" fillId="0" borderId="8" xfId="0" applyFont="1" applyBorder="1" applyAlignment="1" applyProtection="1">
      <alignment horizontal="right" vertical="center"/>
      <protection locked="0"/>
    </xf>
    <xf numFmtId="0" fontId="5" fillId="0" borderId="6" xfId="0" applyFont="1" applyBorder="1" applyProtection="1">
      <alignment vertical="center"/>
      <protection locked="0"/>
    </xf>
    <xf numFmtId="176" fontId="5" fillId="0" borderId="20" xfId="0" applyNumberFormat="1" applyFont="1" applyBorder="1" applyProtection="1">
      <alignment vertical="center"/>
      <protection locked="0"/>
    </xf>
    <xf numFmtId="0" fontId="5" fillId="0" borderId="23" xfId="0" applyFont="1" applyBorder="1" applyAlignment="1" applyProtection="1">
      <alignment horizontal="right" vertical="center"/>
      <protection locked="0"/>
    </xf>
    <xf numFmtId="0" fontId="5" fillId="0" borderId="33" xfId="0" applyFont="1" applyBorder="1" applyProtection="1">
      <alignment vertical="center"/>
      <protection locked="0"/>
    </xf>
    <xf numFmtId="0" fontId="6" fillId="0" borderId="0" xfId="0" applyFont="1" applyAlignment="1" applyProtection="1">
      <alignment horizontal="left" vertical="center"/>
      <protection locked="0"/>
    </xf>
    <xf numFmtId="0" fontId="5" fillId="0" borderId="14" xfId="0" applyFont="1" applyBorder="1" applyAlignment="1" applyProtection="1">
      <alignment horizontal="right" vertical="center"/>
      <protection locked="0"/>
    </xf>
    <xf numFmtId="0" fontId="5" fillId="0" borderId="7" xfId="0" applyFont="1" applyBorder="1" applyProtection="1">
      <alignment vertical="center"/>
      <protection locked="0"/>
    </xf>
    <xf numFmtId="176" fontId="5" fillId="0" borderId="21" xfId="0" applyNumberFormat="1" applyFont="1" applyBorder="1" applyAlignment="1" applyProtection="1">
      <alignment horizontal="right" vertical="center"/>
      <protection locked="0"/>
    </xf>
    <xf numFmtId="0" fontId="5" fillId="0" borderId="5" xfId="0" applyFont="1" applyBorder="1" applyAlignment="1" applyProtection="1">
      <alignment horizontal="right" vertical="center"/>
      <protection locked="0"/>
    </xf>
    <xf numFmtId="176" fontId="6" fillId="0" borderId="19" xfId="0" applyNumberFormat="1" applyFont="1" applyBorder="1" applyProtection="1">
      <alignment vertical="center"/>
      <protection locked="0"/>
    </xf>
    <xf numFmtId="0" fontId="5" fillId="0" borderId="5" xfId="0" applyFont="1" applyBorder="1" applyAlignment="1" applyProtection="1">
      <alignment horizontal="center" vertical="center"/>
      <protection locked="0"/>
    </xf>
    <xf numFmtId="0" fontId="5" fillId="0" borderId="84" xfId="0" applyFont="1" applyBorder="1" applyProtection="1">
      <alignment vertical="center"/>
      <protection locked="0"/>
    </xf>
    <xf numFmtId="0" fontId="5" fillId="0" borderId="85" xfId="0" applyFont="1" applyBorder="1" applyProtection="1">
      <alignment vertical="center"/>
      <protection locked="0"/>
    </xf>
    <xf numFmtId="0" fontId="5" fillId="0" borderId="87" xfId="0" applyFont="1" applyBorder="1" applyProtection="1">
      <alignment vertical="center"/>
      <protection locked="0"/>
    </xf>
    <xf numFmtId="176" fontId="5" fillId="0" borderId="78" xfId="0" applyNumberFormat="1" applyFont="1" applyBorder="1" applyAlignment="1" applyProtection="1">
      <alignment horizontal="right" vertical="center"/>
      <protection locked="0"/>
    </xf>
    <xf numFmtId="0" fontId="7" fillId="0" borderId="14" xfId="0" applyFont="1" applyBorder="1" applyProtection="1">
      <alignment vertical="center"/>
      <protection locked="0"/>
    </xf>
    <xf numFmtId="176" fontId="5" fillId="0" borderId="15" xfId="0" applyNumberFormat="1" applyFont="1" applyBorder="1" applyProtection="1">
      <alignment vertical="center"/>
      <protection locked="0"/>
    </xf>
    <xf numFmtId="0" fontId="14" fillId="0" borderId="10" xfId="0" applyFont="1" applyBorder="1" applyProtection="1">
      <alignment vertical="center"/>
      <protection locked="0"/>
    </xf>
    <xf numFmtId="0" fontId="10" fillId="0" borderId="13" xfId="0" applyFont="1" applyBorder="1" applyProtection="1">
      <alignment vertical="center"/>
      <protection locked="0"/>
    </xf>
    <xf numFmtId="176" fontId="10" fillId="0" borderId="9" xfId="0" applyNumberFormat="1" applyFont="1" applyBorder="1" applyProtection="1">
      <alignment vertical="center"/>
      <protection locked="0"/>
    </xf>
    <xf numFmtId="0" fontId="7" fillId="0" borderId="0" xfId="0" applyFont="1" applyProtection="1">
      <alignment vertical="center"/>
      <protection locked="0"/>
    </xf>
    <xf numFmtId="176" fontId="9" fillId="0" borderId="0" xfId="0" applyNumberFormat="1" applyFont="1" applyProtection="1">
      <alignment vertical="center"/>
      <protection locked="0"/>
    </xf>
    <xf numFmtId="177" fontId="5" fillId="0" borderId="0" xfId="0" applyNumberFormat="1" applyFont="1" applyProtection="1">
      <alignment vertical="center"/>
      <protection locked="0"/>
    </xf>
    <xf numFmtId="0" fontId="13" fillId="0" borderId="13" xfId="0" applyFont="1" applyBorder="1" applyProtection="1">
      <alignment vertical="center"/>
      <protection locked="0"/>
    </xf>
    <xf numFmtId="0" fontId="13" fillId="0" borderId="10" xfId="0" applyFont="1" applyBorder="1" applyProtection="1">
      <alignment vertical="center"/>
      <protection locked="0"/>
    </xf>
    <xf numFmtId="38" fontId="13" fillId="0" borderId="13" xfId="1" applyFont="1" applyBorder="1" applyProtection="1">
      <alignment vertical="center"/>
      <protection locked="0"/>
    </xf>
    <xf numFmtId="176" fontId="22" fillId="0" borderId="13" xfId="0" applyNumberFormat="1" applyFont="1" applyBorder="1" applyProtection="1">
      <alignment vertical="center"/>
      <protection locked="0"/>
    </xf>
    <xf numFmtId="176" fontId="5" fillId="0" borderId="27" xfId="0" applyNumberFormat="1" applyFont="1" applyBorder="1">
      <alignment vertical="center"/>
    </xf>
    <xf numFmtId="178" fontId="9" fillId="2" borderId="36" xfId="0" applyNumberFormat="1" applyFont="1" applyFill="1" applyBorder="1">
      <alignment vertical="center"/>
    </xf>
    <xf numFmtId="178" fontId="9" fillId="2" borderId="45" xfId="0" applyNumberFormat="1" applyFont="1" applyFill="1" applyBorder="1">
      <alignment vertical="center"/>
    </xf>
    <xf numFmtId="179" fontId="9" fillId="0" borderId="28" xfId="0" applyNumberFormat="1" applyFont="1" applyBorder="1">
      <alignment vertical="center"/>
    </xf>
    <xf numFmtId="176" fontId="9" fillId="0" borderId="26" xfId="0" applyNumberFormat="1" applyFont="1" applyBorder="1">
      <alignment vertical="center"/>
    </xf>
    <xf numFmtId="177" fontId="5" fillId="3" borderId="19" xfId="0" applyNumberFormat="1" applyFont="1" applyFill="1" applyBorder="1">
      <alignment vertical="center"/>
    </xf>
    <xf numFmtId="180" fontId="5" fillId="3" borderId="19" xfId="0" applyNumberFormat="1" applyFont="1" applyFill="1" applyBorder="1">
      <alignment vertical="center"/>
    </xf>
    <xf numFmtId="176" fontId="5" fillId="0" borderId="86" xfId="0" applyNumberFormat="1" applyFont="1" applyBorder="1">
      <alignment vertical="center"/>
    </xf>
    <xf numFmtId="177" fontId="5" fillId="3" borderId="78" xfId="0" applyNumberFormat="1" applyFont="1" applyFill="1" applyBorder="1">
      <alignment vertical="center"/>
    </xf>
    <xf numFmtId="176" fontId="9" fillId="0" borderId="18" xfId="0" applyNumberFormat="1" applyFont="1" applyBorder="1">
      <alignment vertical="center"/>
    </xf>
    <xf numFmtId="177" fontId="7" fillId="3" borderId="15" xfId="0" applyNumberFormat="1" applyFont="1" applyFill="1" applyBorder="1">
      <alignment vertical="center"/>
    </xf>
    <xf numFmtId="176" fontId="15" fillId="0" borderId="10" xfId="0" applyNumberFormat="1" applyFont="1" applyBorder="1">
      <alignment vertical="center"/>
    </xf>
    <xf numFmtId="177" fontId="13" fillId="3" borderId="9" xfId="0" applyNumberFormat="1" applyFont="1" applyFill="1" applyBorder="1">
      <alignment vertical="center"/>
    </xf>
    <xf numFmtId="176" fontId="5" fillId="0" borderId="0" xfId="0" applyNumberFormat="1" applyFont="1">
      <alignment vertical="center"/>
    </xf>
    <xf numFmtId="177" fontId="5" fillId="0" borderId="0" xfId="0" applyNumberFormat="1" applyFont="1">
      <alignment vertical="center"/>
    </xf>
    <xf numFmtId="176" fontId="22" fillId="0" borderId="13" xfId="0" applyNumberFormat="1" applyFont="1" applyBorder="1">
      <alignment vertical="center"/>
    </xf>
    <xf numFmtId="38" fontId="17" fillId="3" borderId="1" xfId="1" applyFont="1" applyFill="1" applyBorder="1" applyAlignment="1" applyProtection="1">
      <alignment vertical="center"/>
    </xf>
    <xf numFmtId="0" fontId="5" fillId="0" borderId="17" xfId="0" applyFont="1" applyBorder="1" applyProtection="1">
      <alignment vertical="center"/>
      <protection locked="0"/>
    </xf>
    <xf numFmtId="0" fontId="5" fillId="0" borderId="8" xfId="0" applyFont="1" applyBorder="1" applyProtection="1">
      <alignment vertical="center"/>
      <protection locked="0"/>
    </xf>
    <xf numFmtId="0" fontId="5" fillId="4" borderId="40" xfId="0" applyFont="1" applyFill="1" applyBorder="1" applyAlignment="1" applyProtection="1">
      <alignment horizontal="center" vertical="center"/>
      <protection locked="0"/>
    </xf>
    <xf numFmtId="0" fontId="5" fillId="4" borderId="53" xfId="0" applyFont="1" applyFill="1" applyBorder="1" applyAlignment="1" applyProtection="1">
      <alignment horizontal="center" vertical="center"/>
      <protection locked="0"/>
    </xf>
    <xf numFmtId="176" fontId="5" fillId="0" borderId="15" xfId="0" applyNumberFormat="1" applyFont="1" applyBorder="1" applyAlignment="1" applyProtection="1">
      <alignment horizontal="right" vertical="center"/>
      <protection locked="0"/>
    </xf>
    <xf numFmtId="0" fontId="5" fillId="0" borderId="44" xfId="0" applyFont="1" applyBorder="1" applyProtection="1">
      <alignment vertical="center"/>
      <protection locked="0"/>
    </xf>
    <xf numFmtId="0" fontId="5" fillId="0" borderId="24" xfId="0" applyFont="1" applyBorder="1" applyProtection="1">
      <alignment vertical="center"/>
      <protection locked="0"/>
    </xf>
    <xf numFmtId="176" fontId="5" fillId="0" borderId="13" xfId="0" applyNumberFormat="1" applyFont="1" applyBorder="1" applyProtection="1">
      <alignment vertical="center"/>
      <protection locked="0"/>
    </xf>
    <xf numFmtId="178" fontId="9" fillId="2" borderId="31" xfId="0" applyNumberFormat="1" applyFont="1" applyFill="1" applyBorder="1">
      <alignment vertical="center"/>
    </xf>
    <xf numFmtId="178" fontId="9" fillId="0" borderId="41" xfId="0" applyNumberFormat="1" applyFont="1" applyBorder="1">
      <alignment vertical="center"/>
    </xf>
    <xf numFmtId="177" fontId="12" fillId="0" borderId="91" xfId="0" applyNumberFormat="1" applyFont="1" applyBorder="1">
      <alignment vertical="center"/>
    </xf>
    <xf numFmtId="178" fontId="9" fillId="0" borderId="54" xfId="0" applyNumberFormat="1" applyFont="1" applyBorder="1">
      <alignment vertical="center"/>
    </xf>
    <xf numFmtId="177" fontId="12" fillId="0" borderId="55" xfId="0" applyNumberFormat="1" applyFont="1" applyBorder="1">
      <alignment vertical="center"/>
    </xf>
    <xf numFmtId="178" fontId="9" fillId="2" borderId="54" xfId="0" applyNumberFormat="1" applyFont="1" applyFill="1" applyBorder="1">
      <alignment vertical="center"/>
    </xf>
    <xf numFmtId="178" fontId="9" fillId="0" borderId="28" xfId="0" applyNumberFormat="1" applyFont="1" applyBorder="1">
      <alignment vertical="center"/>
    </xf>
    <xf numFmtId="180" fontId="5" fillId="3" borderId="91" xfId="0" applyNumberFormat="1" applyFont="1" applyFill="1" applyBorder="1">
      <alignment vertical="center"/>
    </xf>
    <xf numFmtId="177" fontId="5" fillId="0" borderId="78" xfId="0" applyNumberFormat="1" applyFont="1" applyBorder="1">
      <alignment vertical="center"/>
    </xf>
    <xf numFmtId="178" fontId="9" fillId="0" borderId="18" xfId="0" applyNumberFormat="1" applyFont="1" applyBorder="1">
      <alignment vertical="center"/>
    </xf>
    <xf numFmtId="178" fontId="15" fillId="0" borderId="10" xfId="0" applyNumberFormat="1" applyFont="1" applyBorder="1">
      <alignment vertical="center"/>
    </xf>
    <xf numFmtId="0" fontId="5" fillId="4" borderId="33" xfId="0" applyFont="1" applyFill="1" applyBorder="1" applyAlignment="1" applyProtection="1">
      <alignment horizontal="center" vertical="center"/>
      <protection locked="0"/>
    </xf>
    <xf numFmtId="0" fontId="5" fillId="0" borderId="48" xfId="0" applyFont="1" applyBorder="1" applyProtection="1">
      <alignment vertical="center"/>
      <protection locked="0"/>
    </xf>
    <xf numFmtId="176" fontId="5" fillId="0" borderId="51" xfId="0" applyNumberFormat="1" applyFont="1" applyBorder="1" applyAlignment="1" applyProtection="1">
      <alignment horizontal="right" vertical="center"/>
      <protection locked="0"/>
    </xf>
    <xf numFmtId="0" fontId="14" fillId="0" borderId="10"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176" fontId="10" fillId="0" borderId="9" xfId="0" applyNumberFormat="1" applyFont="1" applyBorder="1" applyAlignment="1" applyProtection="1">
      <alignment horizontal="left" vertical="center"/>
      <protection locked="0"/>
    </xf>
    <xf numFmtId="179" fontId="9" fillId="0" borderId="50" xfId="0" applyNumberFormat="1" applyFont="1" applyBorder="1">
      <alignment vertical="center"/>
    </xf>
    <xf numFmtId="0" fontId="2" fillId="0" borderId="0" xfId="0" applyFont="1" applyProtection="1">
      <alignment vertical="center"/>
      <protection locked="0"/>
    </xf>
    <xf numFmtId="0" fontId="5" fillId="0" borderId="1" xfId="0" applyFont="1" applyBorder="1" applyAlignment="1" applyProtection="1">
      <alignment horizontal="center" vertical="center" wrapText="1"/>
      <protection locked="0"/>
    </xf>
    <xf numFmtId="0" fontId="5" fillId="0" borderId="14" xfId="0" applyFont="1" applyBorder="1" applyAlignment="1" applyProtection="1">
      <alignment horizontal="left" vertical="center"/>
      <protection locked="0"/>
    </xf>
    <xf numFmtId="0" fontId="5" fillId="0" borderId="34" xfId="0" applyFont="1" applyBorder="1" applyProtection="1">
      <alignment vertical="center"/>
      <protection locked="0"/>
    </xf>
    <xf numFmtId="0" fontId="5" fillId="5" borderId="97" xfId="0" applyFont="1" applyFill="1" applyBorder="1" applyAlignment="1" applyProtection="1">
      <alignment horizontal="right" vertical="center"/>
      <protection locked="0"/>
    </xf>
    <xf numFmtId="0" fontId="5" fillId="5" borderId="66" xfId="0" applyFont="1" applyFill="1" applyBorder="1" applyAlignment="1" applyProtection="1">
      <alignment horizontal="right" vertical="center"/>
      <protection locked="0"/>
    </xf>
    <xf numFmtId="0" fontId="5" fillId="0" borderId="39" xfId="0" applyFont="1" applyBorder="1" applyProtection="1">
      <alignment vertical="center"/>
      <protection locked="0"/>
    </xf>
    <xf numFmtId="0" fontId="5" fillId="5" borderId="76" xfId="0" applyFont="1" applyFill="1" applyBorder="1" applyAlignment="1" applyProtection="1">
      <alignment horizontal="right" vertical="center"/>
      <protection locked="0"/>
    </xf>
    <xf numFmtId="0" fontId="5" fillId="0" borderId="0" xfId="0" applyFont="1" applyAlignment="1" applyProtection="1">
      <alignment vertical="center" wrapText="1"/>
      <protection locked="0"/>
    </xf>
    <xf numFmtId="0" fontId="5" fillId="0" borderId="16" xfId="0" applyFont="1" applyBorder="1" applyProtection="1">
      <alignment vertical="center"/>
      <protection locked="0"/>
    </xf>
    <xf numFmtId="0" fontId="5" fillId="0" borderId="29" xfId="0" applyFont="1" applyBorder="1" applyProtection="1">
      <alignment vertical="center"/>
      <protection locked="0"/>
    </xf>
    <xf numFmtId="176" fontId="5" fillId="0" borderId="34" xfId="0" applyNumberFormat="1" applyFont="1" applyBorder="1" applyProtection="1">
      <alignment vertical="center"/>
      <protection locked="0"/>
    </xf>
    <xf numFmtId="176" fontId="20" fillId="0" borderId="93" xfId="0" applyNumberFormat="1" applyFont="1" applyBorder="1" applyAlignment="1" applyProtection="1">
      <alignment horizontal="right" vertical="center"/>
      <protection locked="0"/>
    </xf>
    <xf numFmtId="0" fontId="5" fillId="0" borderId="52" xfId="0" applyFont="1" applyBorder="1" applyProtection="1">
      <alignment vertical="center"/>
      <protection locked="0"/>
    </xf>
    <xf numFmtId="0" fontId="5" fillId="0" borderId="11" xfId="0" applyFont="1" applyBorder="1" applyProtection="1">
      <alignment vertical="center"/>
      <protection locked="0"/>
    </xf>
    <xf numFmtId="176" fontId="6" fillId="0" borderId="4" xfId="0" applyNumberFormat="1" applyFont="1" applyBorder="1" applyProtection="1">
      <alignment vertical="center"/>
      <protection locked="0"/>
    </xf>
    <xf numFmtId="0" fontId="5" fillId="0" borderId="16" xfId="0" applyFont="1" applyBorder="1" applyAlignment="1" applyProtection="1">
      <alignment horizontal="left" vertical="center"/>
      <protection locked="0"/>
    </xf>
    <xf numFmtId="176" fontId="6" fillId="0" borderId="20" xfId="0" applyNumberFormat="1" applyFont="1" applyBorder="1" applyProtection="1">
      <alignment vertical="center"/>
      <protection locked="0"/>
    </xf>
    <xf numFmtId="0" fontId="5" fillId="4" borderId="5" xfId="0" applyFont="1" applyFill="1" applyBorder="1" applyAlignment="1" applyProtection="1">
      <alignment horizontal="center" vertical="center"/>
      <protection locked="0"/>
    </xf>
    <xf numFmtId="176" fontId="6" fillId="0" borderId="21" xfId="0" applyNumberFormat="1" applyFont="1" applyBorder="1" applyProtection="1">
      <alignment vertical="center"/>
      <protection locked="0"/>
    </xf>
    <xf numFmtId="181" fontId="5" fillId="5" borderId="1" xfId="0" applyNumberFormat="1" applyFont="1" applyFill="1" applyBorder="1" applyAlignment="1" applyProtection="1">
      <alignment horizontal="right" vertical="center"/>
      <protection locked="0"/>
    </xf>
    <xf numFmtId="176" fontId="6" fillId="0" borderId="51" xfId="0" applyNumberFormat="1" applyFont="1" applyBorder="1" applyProtection="1">
      <alignment vertical="center"/>
      <protection locked="0"/>
    </xf>
    <xf numFmtId="176" fontId="5" fillId="0" borderId="61" xfId="0" applyNumberFormat="1" applyFont="1" applyBorder="1" applyProtection="1">
      <alignment vertical="center"/>
      <protection locked="0"/>
    </xf>
    <xf numFmtId="38" fontId="13" fillId="0" borderId="10" xfId="1" applyFont="1" applyBorder="1" applyProtection="1">
      <alignment vertical="center"/>
      <protection locked="0"/>
    </xf>
    <xf numFmtId="38" fontId="13" fillId="0" borderId="13" xfId="1" applyFont="1" applyFill="1" applyBorder="1" applyProtection="1">
      <alignment vertical="center"/>
      <protection locked="0"/>
    </xf>
    <xf numFmtId="38" fontId="22" fillId="0" borderId="13" xfId="1" applyFont="1" applyBorder="1" applyProtection="1">
      <alignment vertical="center"/>
      <protection locked="0"/>
    </xf>
    <xf numFmtId="176" fontId="5" fillId="2" borderId="98" xfId="0" applyNumberFormat="1" applyFont="1" applyFill="1" applyBorder="1" applyAlignment="1">
      <alignment horizontal="right" vertical="center"/>
    </xf>
    <xf numFmtId="0" fontId="5" fillId="2" borderId="98" xfId="0" applyFont="1" applyFill="1" applyBorder="1" applyAlignment="1">
      <alignment horizontal="right" vertical="center"/>
    </xf>
    <xf numFmtId="176" fontId="20" fillId="2" borderId="92" xfId="0" applyNumberFormat="1" applyFont="1" applyFill="1" applyBorder="1" applyAlignment="1">
      <alignment horizontal="right" vertical="center"/>
    </xf>
    <xf numFmtId="176" fontId="20" fillId="2" borderId="93" xfId="0" applyNumberFormat="1" applyFont="1" applyFill="1" applyBorder="1" applyAlignment="1">
      <alignment horizontal="right" vertical="center"/>
    </xf>
    <xf numFmtId="176" fontId="20" fillId="2" borderId="96" xfId="0" applyNumberFormat="1" applyFont="1" applyFill="1" applyBorder="1" applyAlignment="1">
      <alignment horizontal="right" vertical="center"/>
    </xf>
    <xf numFmtId="176" fontId="20" fillId="2" borderId="94" xfId="0" applyNumberFormat="1" applyFont="1" applyFill="1" applyBorder="1" applyAlignment="1">
      <alignment horizontal="right" vertical="center"/>
    </xf>
    <xf numFmtId="178" fontId="9" fillId="0" borderId="36" xfId="0" applyNumberFormat="1" applyFont="1" applyBorder="1">
      <alignment vertical="center"/>
    </xf>
    <xf numFmtId="176" fontId="5" fillId="0" borderId="26" xfId="0" applyNumberFormat="1" applyFont="1" applyBorder="1">
      <alignment vertical="center"/>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5" fillId="0" borderId="82" xfId="0" applyFont="1" applyBorder="1" applyAlignment="1" applyProtection="1">
      <alignment horizontal="center" vertical="center"/>
      <protection locked="0"/>
    </xf>
    <xf numFmtId="0" fontId="5" fillId="0" borderId="16" xfId="0" applyFont="1" applyBorder="1" applyAlignment="1" applyProtection="1">
      <alignment horizontal="right" vertical="center"/>
      <protection locked="0"/>
    </xf>
    <xf numFmtId="176" fontId="5" fillId="0" borderId="82" xfId="0" applyNumberFormat="1" applyFont="1" applyBorder="1" applyProtection="1">
      <alignment vertical="center"/>
      <protection locked="0"/>
    </xf>
    <xf numFmtId="0" fontId="5" fillId="0" borderId="83" xfId="0" applyFont="1" applyBorder="1" applyProtection="1">
      <alignment vertical="center"/>
      <protection locked="0"/>
    </xf>
    <xf numFmtId="0" fontId="5" fillId="0" borderId="47" xfId="0" applyFont="1" applyBorder="1" applyAlignment="1" applyProtection="1">
      <alignment horizontal="left" vertical="center"/>
      <protection locked="0"/>
    </xf>
    <xf numFmtId="0" fontId="5" fillId="0" borderId="49" xfId="0" applyFont="1" applyBorder="1" applyAlignment="1" applyProtection="1">
      <alignment horizontal="left" vertical="center"/>
      <protection locked="0"/>
    </xf>
    <xf numFmtId="0" fontId="5" fillId="0" borderId="51" xfId="0" applyFont="1" applyBorder="1" applyProtection="1">
      <alignment vertical="center"/>
      <protection locked="0"/>
    </xf>
    <xf numFmtId="0" fontId="5" fillId="0" borderId="15" xfId="0" applyFont="1" applyBorder="1" applyProtection="1">
      <alignment vertical="center"/>
      <protection locked="0"/>
    </xf>
    <xf numFmtId="0" fontId="14" fillId="0" borderId="13" xfId="0" applyFont="1" applyBorder="1" applyProtection="1">
      <alignment vertical="center"/>
      <protection locked="0"/>
    </xf>
    <xf numFmtId="0" fontId="10" fillId="0" borderId="9" xfId="0" applyFont="1" applyBorder="1" applyProtection="1">
      <alignment vertical="center"/>
      <protection locked="0"/>
    </xf>
    <xf numFmtId="176" fontId="10" fillId="0" borderId="13" xfId="0" applyNumberFormat="1" applyFont="1" applyBorder="1" applyProtection="1">
      <alignment vertical="center"/>
      <protection locked="0"/>
    </xf>
    <xf numFmtId="176" fontId="9" fillId="0" borderId="50" xfId="0" applyNumberFormat="1" applyFont="1" applyBorder="1">
      <alignment vertical="center"/>
    </xf>
    <xf numFmtId="177" fontId="5" fillId="3" borderId="51" xfId="0" applyNumberFormat="1" applyFont="1" applyFill="1" applyBorder="1">
      <alignment vertical="center"/>
    </xf>
    <xf numFmtId="176" fontId="13" fillId="3" borderId="9" xfId="0" applyNumberFormat="1" applyFont="1" applyFill="1" applyBorder="1">
      <alignment vertical="center"/>
    </xf>
    <xf numFmtId="0" fontId="5" fillId="0" borderId="60" xfId="0" applyFont="1" applyBorder="1" applyAlignment="1" applyProtection="1">
      <alignment horizontal="center" vertical="center"/>
      <protection locked="0"/>
    </xf>
    <xf numFmtId="0" fontId="5" fillId="5" borderId="72" xfId="0" applyFont="1" applyFill="1" applyBorder="1" applyAlignment="1" applyProtection="1">
      <alignment horizontal="right" vertical="center"/>
      <protection locked="0"/>
    </xf>
    <xf numFmtId="0" fontId="5" fillId="0" borderId="24" xfId="0" applyFont="1" applyBorder="1" applyAlignment="1" applyProtection="1">
      <alignment horizontal="left" vertical="center"/>
      <protection locked="0"/>
    </xf>
    <xf numFmtId="0" fontId="5" fillId="0" borderId="25" xfId="0" applyFont="1" applyBorder="1" applyProtection="1">
      <alignment vertical="center"/>
      <protection locked="0"/>
    </xf>
    <xf numFmtId="0" fontId="5" fillId="0" borderId="58" xfId="0" applyFont="1" applyBorder="1" applyAlignment="1" applyProtection="1">
      <alignment horizontal="center" vertical="center" wrapText="1"/>
      <protection locked="0"/>
    </xf>
    <xf numFmtId="176" fontId="5" fillId="0" borderId="59" xfId="0" applyNumberFormat="1" applyFont="1" applyBorder="1" applyAlignment="1" applyProtection="1">
      <alignment horizontal="center" vertical="center" wrapText="1"/>
      <protection locked="0"/>
    </xf>
    <xf numFmtId="0" fontId="5" fillId="0" borderId="27" xfId="0" applyFont="1" applyBorder="1" applyAlignment="1" applyProtection="1">
      <alignment horizontal="right" vertical="center"/>
      <protection locked="0"/>
    </xf>
    <xf numFmtId="0" fontId="5" fillId="0" borderId="18" xfId="0" applyFont="1" applyBorder="1" applyAlignment="1" applyProtection="1">
      <alignment horizontal="right" vertical="center"/>
      <protection locked="0"/>
    </xf>
    <xf numFmtId="0" fontId="5" fillId="0" borderId="69" xfId="0" applyFont="1" applyBorder="1" applyProtection="1">
      <alignment vertical="center"/>
      <protection locked="0"/>
    </xf>
    <xf numFmtId="0" fontId="5" fillId="4" borderId="35" xfId="0" applyFont="1" applyFill="1" applyBorder="1" applyAlignment="1" applyProtection="1">
      <alignment horizontal="center" vertical="center"/>
      <protection locked="0"/>
    </xf>
    <xf numFmtId="0" fontId="5" fillId="0" borderId="62" xfId="0" applyFont="1" applyBorder="1" applyProtection="1">
      <alignment vertical="center"/>
      <protection locked="0"/>
    </xf>
    <xf numFmtId="0" fontId="5" fillId="0" borderId="41" xfId="0" applyFont="1" applyBorder="1" applyAlignment="1" applyProtection="1">
      <alignment horizontal="center" vertical="center"/>
      <protection locked="0"/>
    </xf>
    <xf numFmtId="0" fontId="5" fillId="0" borderId="65" xfId="0" applyFont="1" applyBorder="1" applyProtection="1">
      <alignment vertical="center"/>
      <protection locked="0"/>
    </xf>
    <xf numFmtId="0" fontId="7" fillId="0" borderId="56" xfId="0" applyFont="1" applyBorder="1" applyProtection="1">
      <alignment vertical="center"/>
      <protection locked="0"/>
    </xf>
    <xf numFmtId="0" fontId="5" fillId="0" borderId="61" xfId="0" applyFont="1" applyBorder="1" applyProtection="1">
      <alignment vertical="center"/>
      <protection locked="0"/>
    </xf>
    <xf numFmtId="0" fontId="10" fillId="0" borderId="10" xfId="0" applyFont="1" applyBorder="1" applyProtection="1">
      <alignment vertical="center"/>
      <protection locked="0"/>
    </xf>
    <xf numFmtId="176" fontId="13" fillId="0" borderId="13" xfId="0" applyNumberFormat="1" applyFont="1" applyBorder="1" applyProtection="1">
      <alignment vertical="center"/>
      <protection locked="0"/>
    </xf>
    <xf numFmtId="0" fontId="5" fillId="2" borderId="73" xfId="0" applyFont="1" applyFill="1" applyBorder="1" applyAlignment="1">
      <alignment horizontal="right" vertical="center"/>
    </xf>
    <xf numFmtId="176" fontId="5" fillId="0" borderId="60" xfId="0" applyNumberFormat="1" applyFont="1" applyBorder="1" applyAlignment="1">
      <alignment horizontal="center" vertical="center" wrapText="1"/>
    </xf>
    <xf numFmtId="177" fontId="7" fillId="3" borderId="64" xfId="0" applyNumberFormat="1" applyFont="1" applyFill="1" applyBorder="1">
      <alignment vertical="center"/>
    </xf>
    <xf numFmtId="180" fontId="5" fillId="3" borderId="67" xfId="0" applyNumberFormat="1" applyFont="1" applyFill="1" applyBorder="1">
      <alignment vertical="center"/>
    </xf>
    <xf numFmtId="177" fontId="5" fillId="3" borderId="68" xfId="0" applyNumberFormat="1" applyFont="1" applyFill="1" applyBorder="1">
      <alignment vertical="center"/>
    </xf>
    <xf numFmtId="177" fontId="7" fillId="3" borderId="3" xfId="0" applyNumberFormat="1" applyFont="1" applyFill="1" applyBorder="1">
      <alignment vertical="center"/>
    </xf>
    <xf numFmtId="0" fontId="5" fillId="0" borderId="0" xfId="0" applyFont="1" applyAlignment="1" applyProtection="1">
      <alignment horizontal="left" vertical="top" wrapText="1"/>
      <protection locked="0"/>
    </xf>
    <xf numFmtId="0" fontId="5" fillId="4" borderId="100"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wrapText="1"/>
      <protection locked="0"/>
    </xf>
    <xf numFmtId="0" fontId="0" fillId="0" borderId="83" xfId="0" applyBorder="1" applyProtection="1">
      <alignment vertical="center"/>
      <protection locked="0"/>
    </xf>
    <xf numFmtId="0" fontId="0" fillId="0" borderId="18" xfId="0" applyBorder="1" applyProtection="1">
      <alignment vertical="center"/>
      <protection locked="0"/>
    </xf>
    <xf numFmtId="0" fontId="0" fillId="0" borderId="15" xfId="0" applyBorder="1" applyProtection="1">
      <alignment vertical="center"/>
      <protection locked="0"/>
    </xf>
    <xf numFmtId="0" fontId="5" fillId="0" borderId="45" xfId="0" applyFont="1" applyBorder="1" applyProtection="1">
      <alignment vertical="center"/>
      <protection locked="0"/>
    </xf>
    <xf numFmtId="0" fontId="6" fillId="0" borderId="101" xfId="0" applyFont="1" applyBorder="1" applyAlignment="1" applyProtection="1">
      <alignment horizontal="left" vertical="center"/>
      <protection locked="0"/>
    </xf>
    <xf numFmtId="0" fontId="0" fillId="0" borderId="26" xfId="0" applyBorder="1" applyProtection="1">
      <alignment vertical="center"/>
      <protection locked="0"/>
    </xf>
    <xf numFmtId="0" fontId="0" fillId="0" borderId="19" xfId="0" applyBorder="1" applyProtection="1">
      <alignment vertical="center"/>
      <protection locked="0"/>
    </xf>
    <xf numFmtId="176" fontId="5" fillId="0" borderId="10" xfId="0" applyNumberFormat="1" applyFont="1"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5" fillId="0" borderId="102" xfId="0" applyFont="1" applyBorder="1" applyAlignment="1" applyProtection="1">
      <alignment horizontal="right" vertical="center"/>
      <protection locked="0"/>
    </xf>
    <xf numFmtId="0" fontId="5" fillId="0" borderId="34" xfId="0" applyFont="1" applyBorder="1" applyAlignment="1" applyProtection="1">
      <alignment horizontal="right" vertical="center"/>
      <protection locked="0"/>
    </xf>
    <xf numFmtId="0" fontId="5" fillId="0" borderId="103" xfId="0" applyFont="1" applyBorder="1" applyAlignment="1" applyProtection="1">
      <alignment horizontal="right" vertical="center"/>
      <protection locked="0"/>
    </xf>
    <xf numFmtId="0" fontId="5" fillId="0" borderId="26" xfId="0" applyFont="1" applyBorder="1" applyProtection="1">
      <alignment vertical="center"/>
      <protection locked="0"/>
    </xf>
    <xf numFmtId="0" fontId="5" fillId="0" borderId="54" xfId="0" applyFont="1" applyBorder="1" applyProtection="1">
      <alignment vertical="center"/>
      <protection locked="0"/>
    </xf>
    <xf numFmtId="0" fontId="5" fillId="0" borderId="18" xfId="0" applyFont="1" applyBorder="1" applyProtection="1">
      <alignment vertical="center"/>
      <protection locked="0"/>
    </xf>
    <xf numFmtId="0" fontId="5" fillId="4" borderId="36" xfId="0" applyFont="1" applyFill="1" applyBorder="1" applyAlignment="1" applyProtection="1">
      <alignment horizontal="center" vertical="center"/>
      <protection locked="0"/>
    </xf>
    <xf numFmtId="0" fontId="5" fillId="0" borderId="36" xfId="0" applyFont="1" applyBorder="1" applyProtection="1">
      <alignment vertical="center"/>
      <protection locked="0"/>
    </xf>
    <xf numFmtId="0" fontId="5" fillId="0" borderId="104" xfId="0" applyFont="1" applyBorder="1" applyProtection="1">
      <alignment vertical="center"/>
      <protection locked="0"/>
    </xf>
    <xf numFmtId="0" fontId="5" fillId="4" borderId="105" xfId="0" applyFont="1" applyFill="1" applyBorder="1" applyAlignment="1" applyProtection="1">
      <alignment horizontal="center" vertical="center"/>
      <protection locked="0"/>
    </xf>
    <xf numFmtId="0" fontId="5" fillId="0" borderId="2" xfId="0" applyFont="1" applyBorder="1" applyAlignment="1">
      <alignment horizontal="center" vertical="center" wrapText="1"/>
    </xf>
    <xf numFmtId="0" fontId="5" fillId="4" borderId="82" xfId="0" applyFont="1" applyFill="1" applyBorder="1" applyAlignment="1" applyProtection="1">
      <alignment horizontal="center" vertical="center"/>
      <protection locked="0"/>
    </xf>
    <xf numFmtId="0" fontId="5" fillId="0" borderId="25" xfId="0" applyFont="1" applyBorder="1" applyAlignment="1" applyProtection="1">
      <alignment horizontal="center" vertical="center" wrapText="1"/>
      <protection locked="0"/>
    </xf>
    <xf numFmtId="0" fontId="5" fillId="0" borderId="106" xfId="0" applyFont="1" applyBorder="1" applyAlignment="1" applyProtection="1">
      <alignment horizontal="center" vertical="center"/>
      <protection locked="0"/>
    </xf>
    <xf numFmtId="0" fontId="5" fillId="0" borderId="102" xfId="0" applyFont="1" applyBorder="1" applyProtection="1">
      <alignment vertical="center"/>
      <protection locked="0"/>
    </xf>
    <xf numFmtId="0" fontId="5" fillId="0" borderId="103" xfId="0" applyFont="1" applyBorder="1" applyProtection="1">
      <alignment vertical="center"/>
      <protection locked="0"/>
    </xf>
    <xf numFmtId="0" fontId="5" fillId="0" borderId="107" xfId="0" applyFont="1" applyBorder="1" applyProtection="1">
      <alignment vertical="center"/>
      <protection locked="0"/>
    </xf>
    <xf numFmtId="0" fontId="5" fillId="0" borderId="31" xfId="0" applyFont="1" applyBorder="1" applyProtection="1">
      <alignment vertical="center"/>
      <protection locked="0"/>
    </xf>
    <xf numFmtId="176" fontId="5" fillId="0" borderId="36" xfId="0" applyNumberFormat="1" applyFont="1" applyBorder="1" applyProtection="1">
      <alignment vertical="center"/>
      <protection locked="0"/>
    </xf>
    <xf numFmtId="176" fontId="6" fillId="0" borderId="105" xfId="0" applyNumberFormat="1" applyFont="1" applyBorder="1" applyProtection="1">
      <alignment vertical="center"/>
      <protection locked="0"/>
    </xf>
    <xf numFmtId="0" fontId="5" fillId="4" borderId="26" xfId="0" applyFont="1" applyFill="1" applyBorder="1" applyAlignment="1" applyProtection="1">
      <alignment horizontal="center" vertical="center"/>
      <protection locked="0"/>
    </xf>
    <xf numFmtId="0" fontId="5" fillId="0" borderId="104" xfId="0" applyFont="1" applyBorder="1" applyAlignment="1" applyProtection="1">
      <alignment horizontal="center" vertical="center" wrapText="1"/>
      <protection locked="0"/>
    </xf>
    <xf numFmtId="176" fontId="5" fillId="0" borderId="21" xfId="0" applyNumberFormat="1"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176" fontId="5" fillId="0" borderId="7" xfId="0" applyNumberFormat="1" applyFont="1" applyBorder="1" applyAlignment="1" applyProtection="1">
      <alignment horizontal="right" vertical="center"/>
      <protection locked="0"/>
    </xf>
    <xf numFmtId="177" fontId="5" fillId="0" borderId="19" xfId="0" applyNumberFormat="1" applyFont="1" applyBorder="1">
      <alignment vertical="center"/>
    </xf>
    <xf numFmtId="180" fontId="5" fillId="0" borderId="19" xfId="0" applyNumberFormat="1" applyFont="1" applyBorder="1">
      <alignment vertical="center"/>
    </xf>
    <xf numFmtId="0" fontId="5" fillId="0" borderId="0" xfId="0" applyFont="1" applyAlignment="1" applyProtection="1">
      <alignment vertical="top" wrapText="1"/>
      <protection locked="0"/>
    </xf>
    <xf numFmtId="0" fontId="5" fillId="0" borderId="0" xfId="0" applyFont="1" applyAlignment="1" applyProtection="1">
      <alignment vertical="top"/>
      <protection locked="0"/>
    </xf>
    <xf numFmtId="0" fontId="5" fillId="0" borderId="82" xfId="0" applyFont="1" applyBorder="1" applyProtection="1">
      <alignment vertical="center"/>
      <protection locked="0"/>
    </xf>
    <xf numFmtId="176" fontId="6" fillId="0" borderId="15" xfId="0" applyNumberFormat="1" applyFont="1" applyBorder="1" applyProtection="1">
      <alignment vertical="center"/>
      <protection locked="0"/>
    </xf>
    <xf numFmtId="0" fontId="5" fillId="4" borderId="107"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0" borderId="12" xfId="0" applyFont="1" applyBorder="1" applyAlignment="1" applyProtection="1">
      <alignment horizontal="left" vertical="center"/>
      <protection locked="0"/>
    </xf>
    <xf numFmtId="0" fontId="0" fillId="0" borderId="27" xfId="0" applyBorder="1" applyProtection="1">
      <alignment vertical="center"/>
      <protection locked="0"/>
    </xf>
    <xf numFmtId="0" fontId="0" fillId="0" borderId="20" xfId="0" applyBorder="1" applyProtection="1">
      <alignment vertical="center"/>
      <protection locked="0"/>
    </xf>
    <xf numFmtId="176" fontId="5" fillId="0" borderId="19" xfId="0" applyNumberFormat="1" applyFont="1" applyBorder="1" applyProtection="1">
      <alignment vertical="center"/>
      <protection locked="0"/>
    </xf>
    <xf numFmtId="0" fontId="5" fillId="0" borderId="8" xfId="0" applyFont="1" applyBorder="1" applyAlignment="1" applyProtection="1">
      <alignment horizontal="center" vertical="center"/>
      <protection locked="0"/>
    </xf>
    <xf numFmtId="0" fontId="5" fillId="0" borderId="30" xfId="0" applyFont="1" applyBorder="1" applyAlignment="1" applyProtection="1">
      <alignment horizontal="left" vertical="center"/>
      <protection locked="0"/>
    </xf>
    <xf numFmtId="0" fontId="5" fillId="0" borderId="26" xfId="0" applyFont="1" applyBorder="1" applyAlignment="1" applyProtection="1">
      <alignment horizontal="right" vertical="center"/>
      <protection locked="0"/>
    </xf>
    <xf numFmtId="177" fontId="5" fillId="3" borderId="72" xfId="0" applyNumberFormat="1" applyFont="1" applyFill="1" applyBorder="1">
      <alignment vertical="center"/>
    </xf>
    <xf numFmtId="0" fontId="5" fillId="4" borderId="6" xfId="0" applyFont="1" applyFill="1" applyBorder="1" applyAlignment="1" applyProtection="1">
      <alignment horizontal="center" vertical="center"/>
      <protection locked="0"/>
    </xf>
    <xf numFmtId="0" fontId="5" fillId="0" borderId="110" xfId="0" applyFont="1" applyBorder="1" applyProtection="1">
      <alignment vertical="center"/>
      <protection locked="0"/>
    </xf>
    <xf numFmtId="177" fontId="5" fillId="3" borderId="73" xfId="0" applyNumberFormat="1" applyFont="1" applyFill="1" applyBorder="1">
      <alignment vertical="center"/>
    </xf>
    <xf numFmtId="0" fontId="5" fillId="0" borderId="26" xfId="0" applyFont="1" applyBorder="1" applyAlignment="1" applyProtection="1">
      <alignment horizontal="center" vertical="center"/>
      <protection locked="0"/>
    </xf>
    <xf numFmtId="0" fontId="5" fillId="0" borderId="32" xfId="0" applyFont="1" applyBorder="1" applyAlignment="1" applyProtection="1">
      <alignment horizontal="left" vertical="center"/>
      <protection locked="0"/>
    </xf>
    <xf numFmtId="3" fontId="13" fillId="0" borderId="13" xfId="0" applyNumberFormat="1" applyFont="1" applyBorder="1" applyProtection="1">
      <alignment vertical="center"/>
      <protection locked="0"/>
    </xf>
    <xf numFmtId="176" fontId="13" fillId="3" borderId="1" xfId="0" applyNumberFormat="1" applyFont="1" applyFill="1" applyBorder="1">
      <alignment vertical="center"/>
    </xf>
    <xf numFmtId="176" fontId="9" fillId="0" borderId="27" xfId="0" applyNumberFormat="1" applyFont="1" applyBorder="1">
      <alignment vertical="center"/>
    </xf>
    <xf numFmtId="0" fontId="5" fillId="0" borderId="14" xfId="0" applyFont="1" applyBorder="1" applyAlignment="1" applyProtection="1">
      <alignment horizontal="center" vertical="center"/>
      <protection locked="0"/>
    </xf>
    <xf numFmtId="177" fontId="9" fillId="6" borderId="26" xfId="0" applyNumberFormat="1" applyFont="1" applyFill="1" applyBorder="1">
      <alignment vertical="center"/>
    </xf>
    <xf numFmtId="177" fontId="5" fillId="3" borderId="21" xfId="0" applyNumberFormat="1" applyFont="1" applyFill="1" applyBorder="1">
      <alignment vertical="center"/>
    </xf>
    <xf numFmtId="0" fontId="5" fillId="4" borderId="99"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5" fillId="0" borderId="19" xfId="0" applyFont="1" applyBorder="1" applyAlignment="1" applyProtection="1">
      <alignment horizontal="right" vertical="center"/>
      <protection locked="0"/>
    </xf>
    <xf numFmtId="176" fontId="9" fillId="0" borderId="16" xfId="0" applyNumberFormat="1" applyFont="1" applyBorder="1">
      <alignment vertical="center"/>
    </xf>
    <xf numFmtId="176" fontId="9" fillId="0" borderId="11" xfId="0" applyNumberFormat="1" applyFont="1" applyBorder="1">
      <alignment vertical="center"/>
    </xf>
    <xf numFmtId="176" fontId="5" fillId="0" borderId="112" xfId="0" applyNumberFormat="1" applyFont="1" applyBorder="1" applyProtection="1">
      <alignment vertical="center"/>
      <protection locked="0"/>
    </xf>
    <xf numFmtId="176" fontId="5" fillId="0" borderId="21" xfId="0" applyNumberFormat="1" applyFont="1" applyBorder="1" applyProtection="1">
      <alignment vertical="center"/>
      <protection locked="0"/>
    </xf>
    <xf numFmtId="0" fontId="5" fillId="0" borderId="4" xfId="0" applyFont="1" applyBorder="1" applyAlignment="1" applyProtection="1">
      <alignment horizontal="right" vertical="center"/>
      <protection locked="0"/>
    </xf>
    <xf numFmtId="0" fontId="5" fillId="0" borderId="4" xfId="0" applyFont="1" applyBorder="1" applyAlignment="1" applyProtection="1">
      <alignment horizontal="center" vertical="center"/>
      <protection locked="0"/>
    </xf>
    <xf numFmtId="0" fontId="5" fillId="0" borderId="16" xfId="0" applyFont="1" applyBorder="1" applyAlignment="1">
      <alignment horizontal="center" vertical="center" wrapText="1"/>
    </xf>
    <xf numFmtId="176" fontId="5" fillId="0" borderId="49" xfId="0" applyNumberFormat="1" applyFont="1" applyBorder="1" applyAlignment="1" applyProtection="1">
      <alignment horizontal="center" vertical="center"/>
      <protection locked="0"/>
    </xf>
    <xf numFmtId="0" fontId="0" fillId="0" borderId="51" xfId="0" applyBorder="1" applyProtection="1">
      <alignment vertical="center"/>
      <protection locked="0"/>
    </xf>
    <xf numFmtId="0" fontId="0" fillId="0" borderId="50" xfId="0" applyBorder="1" applyProtection="1">
      <alignment vertical="center"/>
      <protection locked="0"/>
    </xf>
    <xf numFmtId="0" fontId="5" fillId="0" borderId="113" xfId="0" applyFont="1" applyBorder="1" applyProtection="1">
      <alignment vertical="center"/>
      <protection locked="0"/>
    </xf>
    <xf numFmtId="0" fontId="5" fillId="0" borderId="114" xfId="0" applyFont="1" applyBorder="1" applyProtection="1">
      <alignment vertical="center"/>
      <protection locked="0"/>
    </xf>
    <xf numFmtId="176" fontId="5" fillId="5" borderId="1" xfId="0" applyNumberFormat="1" applyFont="1" applyFill="1" applyBorder="1" applyAlignment="1" applyProtection="1">
      <alignment horizontal="right" vertical="center" wrapText="1"/>
      <protection locked="0"/>
    </xf>
    <xf numFmtId="177" fontId="9" fillId="0" borderId="26" xfId="0" applyNumberFormat="1" applyFont="1" applyBorder="1">
      <alignment vertical="center"/>
    </xf>
    <xf numFmtId="180" fontId="5" fillId="3" borderId="20" xfId="0" applyNumberFormat="1" applyFont="1" applyFill="1" applyBorder="1">
      <alignment vertical="center"/>
    </xf>
    <xf numFmtId="180" fontId="5" fillId="0" borderId="20" xfId="0" applyNumberFormat="1" applyFont="1" applyBorder="1">
      <alignment vertical="center"/>
    </xf>
    <xf numFmtId="181" fontId="5" fillId="0" borderId="22" xfId="0" applyNumberFormat="1" applyFont="1" applyBorder="1" applyAlignment="1" applyProtection="1">
      <alignment horizontal="right" vertical="center"/>
      <protection locked="0"/>
    </xf>
    <xf numFmtId="0" fontId="5" fillId="0" borderId="49" xfId="0" applyFont="1" applyBorder="1" applyAlignment="1" applyProtection="1">
      <alignment horizontal="center" vertical="center"/>
      <protection locked="0"/>
    </xf>
    <xf numFmtId="180" fontId="5" fillId="0" borderId="27" xfId="0" applyNumberFormat="1" applyFont="1" applyBorder="1">
      <alignment vertical="center"/>
    </xf>
    <xf numFmtId="0" fontId="5" fillId="2" borderId="19" xfId="0" applyFont="1" applyFill="1" applyBorder="1" applyAlignment="1">
      <alignment horizontal="center" vertical="center" wrapText="1"/>
    </xf>
    <xf numFmtId="177" fontId="18" fillId="2" borderId="64" xfId="0" applyNumberFormat="1" applyFont="1" applyFill="1" applyBorder="1" applyAlignment="1">
      <alignment horizontal="right" vertical="center"/>
    </xf>
    <xf numFmtId="0" fontId="5" fillId="0" borderId="17" xfId="0" applyFont="1" applyBorder="1" applyAlignment="1" applyProtection="1">
      <alignment horizontal="left" vertical="center"/>
      <protection locked="0"/>
    </xf>
    <xf numFmtId="176" fontId="5" fillId="0" borderId="28" xfId="0" applyNumberFormat="1" applyFont="1" applyBorder="1" applyAlignment="1">
      <alignment horizontal="center" vertical="center" wrapText="1"/>
    </xf>
    <xf numFmtId="0" fontId="5" fillId="0" borderId="108" xfId="0" applyFont="1" applyBorder="1" applyAlignment="1" applyProtection="1">
      <alignment horizontal="left" vertical="center"/>
      <protection locked="0"/>
    </xf>
    <xf numFmtId="177" fontId="5" fillId="3" borderId="20" xfId="0" applyNumberFormat="1" applyFont="1" applyFill="1" applyBorder="1">
      <alignment vertical="center"/>
    </xf>
    <xf numFmtId="177" fontId="5" fillId="0" borderId="20" xfId="0" applyNumberFormat="1" applyFont="1" applyBorder="1">
      <alignment vertical="center"/>
    </xf>
    <xf numFmtId="0" fontId="5" fillId="4" borderId="11" xfId="0" applyFont="1" applyFill="1" applyBorder="1" applyAlignment="1" applyProtection="1">
      <alignment horizontal="center" vertical="center"/>
      <protection locked="0"/>
    </xf>
    <xf numFmtId="176" fontId="5" fillId="0" borderId="115" xfId="0" applyNumberFormat="1" applyFont="1" applyBorder="1" applyAlignment="1" applyProtection="1">
      <alignment horizontal="right" vertical="center" wrapText="1"/>
      <protection locked="0"/>
    </xf>
    <xf numFmtId="0" fontId="5" fillId="5" borderId="1" xfId="0" applyFont="1" applyFill="1" applyBorder="1" applyAlignment="1" applyProtection="1">
      <alignment horizontal="center" vertical="center"/>
      <protection locked="0"/>
    </xf>
    <xf numFmtId="176" fontId="5" fillId="0" borderId="116" xfId="0" applyNumberFormat="1" applyFont="1" applyBorder="1" applyAlignment="1" applyProtection="1">
      <alignment horizontal="right" vertical="center"/>
      <protection locked="0"/>
    </xf>
    <xf numFmtId="0" fontId="5" fillId="4" borderId="38" xfId="0" applyFont="1" applyFill="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180" fontId="5" fillId="3" borderId="17" xfId="0" applyNumberFormat="1" applyFont="1" applyFill="1" applyBorder="1">
      <alignment vertical="center"/>
    </xf>
    <xf numFmtId="180" fontId="5" fillId="0" borderId="17" xfId="0" applyNumberFormat="1" applyFont="1" applyBorder="1">
      <alignment vertical="center"/>
    </xf>
    <xf numFmtId="176" fontId="5" fillId="0" borderId="17" xfId="0" applyNumberFormat="1" applyFont="1" applyBorder="1">
      <alignment vertical="center"/>
    </xf>
    <xf numFmtId="0" fontId="5" fillId="0" borderId="26" xfId="0" applyFont="1" applyBorder="1" applyAlignment="1">
      <alignment horizontal="center" vertical="center" wrapText="1"/>
    </xf>
    <xf numFmtId="0" fontId="5" fillId="0" borderId="19" xfId="0" applyFont="1" applyBorder="1" applyAlignment="1">
      <alignment horizontal="center" vertical="center" wrapText="1"/>
    </xf>
    <xf numFmtId="176" fontId="5" fillId="0" borderId="20" xfId="0" applyNumberFormat="1" applyFont="1" applyBorder="1" applyAlignment="1" applyProtection="1">
      <alignment horizontal="center" vertical="center" wrapText="1"/>
      <protection locked="0"/>
    </xf>
    <xf numFmtId="0" fontId="5" fillId="5" borderId="1" xfId="0" applyFont="1" applyFill="1" applyBorder="1" applyAlignment="1" applyProtection="1">
      <alignment horizontal="left" vertical="center"/>
      <protection locked="0"/>
    </xf>
    <xf numFmtId="177" fontId="5" fillId="3" borderId="21" xfId="0" applyNumberFormat="1" applyFont="1" applyFill="1" applyBorder="1" applyAlignment="1">
      <alignment horizontal="right" vertical="center"/>
    </xf>
    <xf numFmtId="0" fontId="5" fillId="0" borderId="117" xfId="0" applyFont="1" applyBorder="1" applyProtection="1">
      <alignment vertical="center"/>
      <protection locked="0"/>
    </xf>
    <xf numFmtId="0" fontId="5" fillId="0" borderId="118" xfId="0" applyFont="1" applyBorder="1" applyAlignment="1" applyProtection="1">
      <alignment horizontal="right" vertical="center"/>
      <protection locked="0"/>
    </xf>
    <xf numFmtId="0" fontId="5" fillId="0" borderId="104" xfId="0" applyFont="1" applyBorder="1" applyAlignment="1" applyProtection="1">
      <alignment horizontal="right" vertical="center"/>
      <protection locked="0"/>
    </xf>
    <xf numFmtId="0" fontId="5" fillId="0" borderId="109" xfId="0" applyFont="1" applyBorder="1" applyProtection="1">
      <alignment vertical="center"/>
      <protection locked="0"/>
    </xf>
    <xf numFmtId="177" fontId="7" fillId="3" borderId="19" xfId="0" applyNumberFormat="1" applyFont="1" applyFill="1" applyBorder="1">
      <alignment vertical="center"/>
    </xf>
    <xf numFmtId="0" fontId="5" fillId="0" borderId="119" xfId="0" applyFont="1" applyBorder="1" applyProtection="1">
      <alignment vertical="center"/>
      <protection locked="0"/>
    </xf>
    <xf numFmtId="0" fontId="5" fillId="4" borderId="120" xfId="0" applyFont="1" applyFill="1" applyBorder="1" applyAlignment="1" applyProtection="1">
      <alignment horizontal="center" vertical="center"/>
      <protection locked="0"/>
    </xf>
    <xf numFmtId="0" fontId="5" fillId="0" borderId="121" xfId="0" applyFont="1" applyBorder="1" applyProtection="1">
      <alignment vertical="center"/>
      <protection locked="0"/>
    </xf>
    <xf numFmtId="177" fontId="12" fillId="2" borderId="55" xfId="0" applyNumberFormat="1" applyFont="1" applyFill="1" applyBorder="1">
      <alignment vertical="center"/>
    </xf>
    <xf numFmtId="177" fontId="12" fillId="2" borderId="37" xfId="0" applyNumberFormat="1" applyFont="1" applyFill="1" applyBorder="1">
      <alignment vertical="center"/>
    </xf>
    <xf numFmtId="177" fontId="12" fillId="2" borderId="46" xfId="0" applyNumberFormat="1" applyFont="1" applyFill="1" applyBorder="1">
      <alignment vertical="center"/>
    </xf>
    <xf numFmtId="177" fontId="7" fillId="2" borderId="21" xfId="0" applyNumberFormat="1" applyFont="1" applyFill="1" applyBorder="1">
      <alignment vertical="center"/>
    </xf>
    <xf numFmtId="176" fontId="5" fillId="0" borderId="26" xfId="0" applyNumberFormat="1" applyFont="1" applyBorder="1" applyProtection="1">
      <alignment vertical="center"/>
      <protection locked="0"/>
    </xf>
    <xf numFmtId="0" fontId="0" fillId="0" borderId="82" xfId="0" applyBorder="1" applyProtection="1">
      <alignment vertical="center"/>
      <protection locked="0"/>
    </xf>
    <xf numFmtId="177" fontId="7" fillId="3" borderId="20" xfId="0" applyNumberFormat="1" applyFont="1" applyFill="1" applyBorder="1">
      <alignment vertical="center"/>
    </xf>
    <xf numFmtId="177" fontId="12" fillId="2" borderId="32" xfId="0" applyNumberFormat="1" applyFont="1" applyFill="1" applyBorder="1">
      <alignment vertical="center"/>
    </xf>
    <xf numFmtId="177" fontId="12" fillId="2" borderId="51" xfId="0" applyNumberFormat="1" applyFont="1" applyFill="1" applyBorder="1">
      <alignment vertical="center"/>
    </xf>
    <xf numFmtId="178" fontId="9" fillId="0" borderId="27" xfId="0" applyNumberFormat="1" applyFont="1" applyBorder="1">
      <alignment vertical="center"/>
    </xf>
    <xf numFmtId="178" fontId="9" fillId="0" borderId="26" xfId="0" applyNumberFormat="1" applyFont="1" applyBorder="1">
      <alignment vertical="center"/>
    </xf>
    <xf numFmtId="176" fontId="5" fillId="0" borderId="15" xfId="0" applyNumberFormat="1" applyFont="1" applyBorder="1" applyAlignment="1" applyProtection="1">
      <alignment horizontal="right" vertical="center" wrapText="1"/>
      <protection locked="0"/>
    </xf>
    <xf numFmtId="180" fontId="5" fillId="3" borderId="19" xfId="0" applyNumberFormat="1" applyFont="1" applyFill="1" applyBorder="1" applyProtection="1">
      <alignment vertical="center"/>
      <protection locked="0"/>
    </xf>
    <xf numFmtId="0" fontId="5" fillId="0" borderId="122" xfId="0" applyFont="1" applyBorder="1" applyProtection="1">
      <alignment vertical="center"/>
      <protection locked="0"/>
    </xf>
    <xf numFmtId="0" fontId="5" fillId="5" borderId="1" xfId="0" applyFont="1" applyFill="1" applyBorder="1" applyAlignment="1" applyProtection="1">
      <alignment horizontal="right" vertical="center"/>
      <protection locked="0"/>
    </xf>
    <xf numFmtId="0" fontId="5" fillId="0" borderId="8" xfId="0" applyFont="1" applyBorder="1" applyAlignment="1" applyProtection="1">
      <alignment horizontal="left" vertical="center"/>
      <protection locked="0"/>
    </xf>
    <xf numFmtId="0" fontId="5" fillId="0" borderId="74" xfId="0" applyFont="1" applyBorder="1" applyAlignment="1" applyProtection="1">
      <alignment horizontal="left" vertical="center"/>
      <protection locked="0"/>
    </xf>
    <xf numFmtId="0" fontId="5" fillId="0" borderId="30" xfId="0" applyFont="1" applyBorder="1" applyProtection="1">
      <alignment vertical="center"/>
      <protection locked="0"/>
    </xf>
    <xf numFmtId="0" fontId="5" fillId="0" borderId="2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4" xfId="0" applyFont="1" applyBorder="1" applyAlignment="1" applyProtection="1">
      <alignment horizontal="left" vertical="center"/>
      <protection locked="0"/>
    </xf>
    <xf numFmtId="177" fontId="12" fillId="0" borderId="32" xfId="0" applyNumberFormat="1" applyFont="1" applyBorder="1">
      <alignment vertical="center"/>
    </xf>
    <xf numFmtId="178" fontId="9" fillId="0" borderId="31" xfId="0" applyNumberFormat="1" applyFont="1" applyBorder="1">
      <alignment vertical="center"/>
    </xf>
    <xf numFmtId="0" fontId="5" fillId="0" borderId="74" xfId="0" applyFont="1" applyBorder="1" applyProtection="1">
      <alignment vertical="center"/>
      <protection locked="0"/>
    </xf>
    <xf numFmtId="0" fontId="5" fillId="2" borderId="124" xfId="0" applyFont="1" applyFill="1" applyBorder="1" applyAlignment="1">
      <alignment horizontal="right" vertical="center"/>
    </xf>
    <xf numFmtId="0" fontId="5" fillId="2" borderId="123" xfId="0" applyFont="1" applyFill="1" applyBorder="1" applyAlignment="1">
      <alignment horizontal="right" vertical="center"/>
    </xf>
    <xf numFmtId="0" fontId="5" fillId="0" borderId="50" xfId="0" applyFont="1" applyBorder="1" applyAlignment="1" applyProtection="1">
      <alignment horizontal="center" vertical="center"/>
      <protection locked="0"/>
    </xf>
    <xf numFmtId="176" fontId="20" fillId="2" borderId="50" xfId="0" applyNumberFormat="1" applyFont="1" applyFill="1" applyBorder="1" applyAlignment="1">
      <alignment horizontal="right" vertical="center"/>
    </xf>
    <xf numFmtId="0" fontId="5" fillId="0" borderId="5" xfId="0" applyFont="1" applyBorder="1" applyAlignment="1" applyProtection="1">
      <alignment horizontal="left" vertical="center"/>
      <protection locked="0"/>
    </xf>
    <xf numFmtId="176" fontId="20" fillId="2" borderId="26" xfId="0" applyNumberFormat="1" applyFont="1" applyFill="1" applyBorder="1" applyAlignment="1">
      <alignment horizontal="right" vertical="center"/>
    </xf>
    <xf numFmtId="176" fontId="20" fillId="0" borderId="26" xfId="0" applyNumberFormat="1" applyFont="1" applyBorder="1" applyAlignment="1">
      <alignment horizontal="right" vertical="center"/>
    </xf>
    <xf numFmtId="177" fontId="12" fillId="0" borderId="37" xfId="0" applyNumberFormat="1" applyFont="1" applyBorder="1">
      <alignment vertical="center"/>
    </xf>
    <xf numFmtId="176" fontId="20" fillId="2" borderId="126" xfId="0" applyNumberFormat="1" applyFont="1" applyFill="1" applyBorder="1" applyAlignment="1">
      <alignment horizontal="right" vertical="center"/>
    </xf>
    <xf numFmtId="0" fontId="5" fillId="0" borderId="127" xfId="0" applyFont="1" applyBorder="1" applyProtection="1">
      <alignment vertical="center"/>
      <protection locked="0"/>
    </xf>
    <xf numFmtId="0" fontId="5" fillId="0" borderId="128" xfId="0" applyFont="1" applyBorder="1" applyProtection="1">
      <alignment vertical="center"/>
      <protection locked="0"/>
    </xf>
    <xf numFmtId="0" fontId="5" fillId="0" borderId="129" xfId="0" applyFont="1" applyBorder="1" applyProtection="1">
      <alignment vertical="center"/>
      <protection locked="0"/>
    </xf>
    <xf numFmtId="0" fontId="5" fillId="0" borderId="130" xfId="0" applyFont="1" applyBorder="1" applyProtection="1">
      <alignment vertical="center"/>
      <protection locked="0"/>
    </xf>
    <xf numFmtId="0" fontId="5" fillId="0" borderId="131" xfId="0" applyFont="1" applyBorder="1" applyProtection="1">
      <alignment vertical="center"/>
      <protection locked="0"/>
    </xf>
    <xf numFmtId="176" fontId="20" fillId="2" borderId="125" xfId="0" applyNumberFormat="1" applyFont="1" applyFill="1" applyBorder="1" applyAlignment="1">
      <alignment horizontal="right" vertical="center"/>
    </xf>
    <xf numFmtId="178" fontId="9" fillId="2" borderId="131" xfId="0" applyNumberFormat="1" applyFont="1" applyFill="1" applyBorder="1">
      <alignment vertical="center"/>
    </xf>
    <xf numFmtId="177" fontId="12" fillId="2" borderId="132" xfId="0" applyNumberFormat="1" applyFont="1" applyFill="1" applyBorder="1">
      <alignment vertical="center"/>
    </xf>
    <xf numFmtId="176" fontId="20" fillId="2" borderId="101" xfId="0" applyNumberFormat="1" applyFont="1" applyFill="1" applyBorder="1" applyAlignment="1">
      <alignment horizontal="right" vertical="center"/>
    </xf>
    <xf numFmtId="176" fontId="5" fillId="0" borderId="104" xfId="0" applyNumberFormat="1" applyFont="1" applyBorder="1" applyAlignment="1" applyProtection="1">
      <alignment horizontal="right" vertical="center"/>
      <protection locked="0"/>
    </xf>
    <xf numFmtId="0" fontId="5" fillId="0" borderId="133" xfId="0" applyFont="1" applyBorder="1" applyProtection="1">
      <alignment vertical="center"/>
      <protection locked="0"/>
    </xf>
    <xf numFmtId="0" fontId="5" fillId="4" borderId="31" xfId="0" applyFont="1" applyFill="1" applyBorder="1" applyAlignment="1" applyProtection="1">
      <alignment horizontal="center" vertical="center"/>
      <protection locked="0"/>
    </xf>
    <xf numFmtId="0" fontId="5" fillId="0" borderId="134" xfId="0" applyFont="1" applyBorder="1" applyProtection="1">
      <alignment vertical="center"/>
      <protection locked="0"/>
    </xf>
    <xf numFmtId="0" fontId="5" fillId="4" borderId="45" xfId="0" applyFont="1" applyFill="1" applyBorder="1" applyAlignment="1" applyProtection="1">
      <alignment horizontal="center" vertical="center"/>
      <protection locked="0"/>
    </xf>
    <xf numFmtId="178" fontId="9" fillId="0" borderId="45" xfId="0" applyNumberFormat="1" applyFont="1" applyBorder="1">
      <alignment vertical="center"/>
    </xf>
    <xf numFmtId="177" fontId="12" fillId="0" borderId="46" xfId="0" applyNumberFormat="1" applyFont="1" applyBorder="1">
      <alignment vertical="center"/>
    </xf>
    <xf numFmtId="176" fontId="20" fillId="2" borderId="92" xfId="0" applyNumberFormat="1" applyFont="1" applyFill="1" applyBorder="1" applyAlignment="1" applyProtection="1">
      <alignment horizontal="right" vertical="center"/>
      <protection locked="0"/>
    </xf>
    <xf numFmtId="176" fontId="20" fillId="2" borderId="94" xfId="0" applyNumberFormat="1" applyFont="1" applyFill="1" applyBorder="1" applyAlignment="1" applyProtection="1">
      <alignment horizontal="right" vertical="center"/>
      <protection locked="0"/>
    </xf>
    <xf numFmtId="0" fontId="5" fillId="0" borderId="32" xfId="0" applyFont="1" applyBorder="1" applyProtection="1">
      <alignment vertical="center"/>
      <protection locked="0"/>
    </xf>
    <xf numFmtId="0" fontId="5" fillId="0" borderId="37" xfId="0" applyFont="1" applyBorder="1" applyProtection="1">
      <alignment vertical="center"/>
      <protection locked="0"/>
    </xf>
    <xf numFmtId="0" fontId="5" fillId="0" borderId="46" xfId="0" applyFont="1" applyBorder="1" applyProtection="1">
      <alignment vertical="center"/>
      <protection locked="0"/>
    </xf>
    <xf numFmtId="0" fontId="5" fillId="0" borderId="21" xfId="0" applyFont="1" applyBorder="1" applyProtection="1">
      <alignment vertical="center"/>
      <protection locked="0"/>
    </xf>
    <xf numFmtId="0" fontId="5" fillId="0" borderId="135" xfId="0" applyFont="1" applyBorder="1" applyProtection="1">
      <alignment vertical="center"/>
      <protection locked="0"/>
    </xf>
    <xf numFmtId="177" fontId="7" fillId="0" borderId="21" xfId="0" applyNumberFormat="1" applyFont="1" applyBorder="1">
      <alignment vertical="center"/>
    </xf>
    <xf numFmtId="181" fontId="5" fillId="5" borderId="1" xfId="0" applyNumberFormat="1" applyFont="1" applyFill="1" applyBorder="1" applyAlignment="1" applyProtection="1">
      <alignment horizontal="right" vertical="center" wrapText="1"/>
      <protection locked="0"/>
    </xf>
    <xf numFmtId="0" fontId="5" fillId="4" borderId="26" xfId="0" applyFont="1" applyFill="1" applyBorder="1" applyAlignment="1" applyProtection="1">
      <alignment horizontal="center" vertical="center" shrinkToFit="1"/>
      <protection locked="0"/>
    </xf>
    <xf numFmtId="0" fontId="5" fillId="0" borderId="20" xfId="0" applyFont="1" applyBorder="1" applyProtection="1">
      <alignment vertical="center"/>
      <protection locked="0"/>
    </xf>
    <xf numFmtId="176" fontId="20" fillId="2" borderId="93" xfId="0" applyNumberFormat="1" applyFont="1" applyFill="1" applyBorder="1" applyAlignment="1" applyProtection="1">
      <alignment horizontal="right" vertical="center"/>
      <protection locked="0"/>
    </xf>
    <xf numFmtId="0" fontId="8" fillId="0" borderId="33" xfId="0" applyFont="1" applyBorder="1" applyAlignment="1" applyProtection="1">
      <alignment horizontal="center" vertical="center"/>
      <protection locked="0"/>
    </xf>
    <xf numFmtId="177" fontId="18" fillId="2" borderId="136" xfId="0" applyNumberFormat="1" applyFont="1" applyFill="1" applyBorder="1">
      <alignment vertical="center"/>
    </xf>
    <xf numFmtId="0" fontId="5" fillId="0" borderId="137" xfId="0" applyFont="1" applyBorder="1" applyProtection="1">
      <alignment vertical="center"/>
      <protection locked="0"/>
    </xf>
    <xf numFmtId="179" fontId="9" fillId="2" borderId="36" xfId="0" applyNumberFormat="1" applyFont="1" applyFill="1" applyBorder="1">
      <alignment vertical="center"/>
    </xf>
    <xf numFmtId="0" fontId="5" fillId="0" borderId="138" xfId="0" applyFont="1" applyBorder="1" applyProtection="1">
      <alignment vertical="center"/>
      <protection locked="0"/>
    </xf>
    <xf numFmtId="0" fontId="5" fillId="0" borderId="49" xfId="0" applyFont="1" applyBorder="1" applyProtection="1">
      <alignment vertical="center"/>
      <protection locked="0"/>
    </xf>
    <xf numFmtId="0" fontId="5" fillId="4" borderId="50" xfId="0" applyFont="1" applyFill="1" applyBorder="1" applyAlignment="1" applyProtection="1">
      <alignment horizontal="center" vertical="center"/>
      <protection locked="0"/>
    </xf>
    <xf numFmtId="176" fontId="20" fillId="2" borderId="139" xfId="0" applyNumberFormat="1" applyFont="1" applyFill="1" applyBorder="1" applyAlignment="1" applyProtection="1">
      <alignment horizontal="right" vertical="center"/>
      <protection locked="0"/>
    </xf>
    <xf numFmtId="178" fontId="9" fillId="2" borderId="50" xfId="0" applyNumberFormat="1" applyFont="1" applyFill="1" applyBorder="1">
      <alignment vertical="center"/>
    </xf>
    <xf numFmtId="178" fontId="9" fillId="0" borderId="50" xfId="0" applyNumberFormat="1" applyFont="1" applyBorder="1">
      <alignment vertical="center"/>
    </xf>
    <xf numFmtId="177" fontId="12" fillId="0" borderId="51" xfId="0" applyNumberFormat="1" applyFont="1" applyBorder="1">
      <alignment vertical="center"/>
    </xf>
    <xf numFmtId="0" fontId="5" fillId="0" borderId="55" xfId="0" applyFont="1" applyBorder="1" applyProtection="1">
      <alignment vertical="center"/>
      <protection locked="0"/>
    </xf>
    <xf numFmtId="0" fontId="5" fillId="0" borderId="140" xfId="0" applyFont="1" applyBorder="1" applyProtection="1">
      <alignment vertical="center"/>
      <protection locked="0"/>
    </xf>
    <xf numFmtId="0" fontId="5" fillId="4" borderId="54" xfId="0" applyFont="1" applyFill="1" applyBorder="1" applyAlignment="1" applyProtection="1">
      <alignment horizontal="center" vertical="center"/>
      <protection locked="0"/>
    </xf>
    <xf numFmtId="176" fontId="20" fillId="2" borderId="96" xfId="0" applyNumberFormat="1" applyFont="1" applyFill="1" applyBorder="1" applyAlignment="1" applyProtection="1">
      <alignment horizontal="right" vertical="center"/>
      <protection locked="0"/>
    </xf>
    <xf numFmtId="0" fontId="5" fillId="0" borderId="70" xfId="0" applyFont="1" applyBorder="1" applyAlignment="1" applyProtection="1">
      <alignment horizontal="left" vertical="center"/>
      <protection locked="0"/>
    </xf>
    <xf numFmtId="0" fontId="5" fillId="0" borderId="74" xfId="0" applyFont="1" applyBorder="1" applyAlignment="1" applyProtection="1">
      <alignment horizontal="left" vertical="center"/>
      <protection locked="0"/>
    </xf>
    <xf numFmtId="0" fontId="5" fillId="0" borderId="71" xfId="0" applyFont="1" applyBorder="1" applyAlignment="1" applyProtection="1">
      <alignment horizontal="left" vertical="center"/>
      <protection locked="0"/>
    </xf>
    <xf numFmtId="0" fontId="5" fillId="0" borderId="75" xfId="0" applyFont="1" applyBorder="1" applyAlignment="1" applyProtection="1">
      <alignment horizontal="left" vertical="center"/>
      <protection locked="0"/>
    </xf>
    <xf numFmtId="177" fontId="18" fillId="2" borderId="63" xfId="0" applyNumberFormat="1" applyFont="1" applyFill="1" applyBorder="1" applyAlignment="1">
      <alignment horizontal="right" vertical="center"/>
    </xf>
    <xf numFmtId="177" fontId="18" fillId="2" borderId="68" xfId="0" applyNumberFormat="1" applyFont="1" applyFill="1" applyBorder="1" applyAlignment="1">
      <alignment horizontal="right" vertical="center"/>
    </xf>
    <xf numFmtId="0" fontId="5" fillId="0" borderId="33" xfId="0" applyFont="1" applyBorder="1" applyAlignment="1" applyProtection="1">
      <alignment vertical="center"/>
      <protection locked="0"/>
    </xf>
    <xf numFmtId="0" fontId="5" fillId="0" borderId="80"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81" xfId="0" applyFont="1" applyBorder="1" applyAlignment="1" applyProtection="1">
      <alignment vertical="center"/>
      <protection locked="0"/>
    </xf>
    <xf numFmtId="0" fontId="5" fillId="0" borderId="59"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16"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5" fillId="0" borderId="80"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7" fillId="0" borderId="86" xfId="0" applyFont="1" applyBorder="1" applyAlignment="1" applyProtection="1">
      <alignment vertical="center"/>
      <protection locked="0"/>
    </xf>
    <xf numFmtId="0" fontId="7" fillId="0" borderId="85" xfId="0" applyFont="1" applyBorder="1" applyAlignment="1" applyProtection="1">
      <alignment vertical="center"/>
      <protection locked="0"/>
    </xf>
    <xf numFmtId="0" fontId="7" fillId="0" borderId="111"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5" fillId="0" borderId="24" xfId="0" applyFont="1" applyBorder="1" applyAlignment="1" applyProtection="1">
      <alignment horizontal="left" vertical="center"/>
      <protection locked="0"/>
    </xf>
    <xf numFmtId="0" fontId="5" fillId="0" borderId="99" xfId="0" applyFont="1" applyBorder="1" applyAlignment="1" applyProtection="1">
      <alignment horizontal="left" vertical="center"/>
      <protection locked="0"/>
    </xf>
    <xf numFmtId="0" fontId="30" fillId="0" borderId="0" xfId="0" applyFont="1" applyAlignment="1" applyProtection="1">
      <alignment horizontal="left" vertical="top" wrapText="1"/>
      <protection locked="0"/>
    </xf>
    <xf numFmtId="0" fontId="5" fillId="0" borderId="30" xfId="0" applyFont="1" applyBorder="1" applyAlignment="1" applyProtection="1">
      <alignment vertical="center"/>
      <protection locked="0"/>
    </xf>
    <xf numFmtId="0" fontId="5" fillId="0" borderId="42" xfId="0" applyFont="1" applyBorder="1" applyAlignment="1" applyProtection="1">
      <alignment vertical="center"/>
      <protection locked="0"/>
    </xf>
    <xf numFmtId="0" fontId="5" fillId="0" borderId="19" xfId="0" applyFont="1" applyBorder="1" applyAlignment="1" applyProtection="1">
      <alignment horizontal="left" vertical="center"/>
      <protection locked="0"/>
    </xf>
    <xf numFmtId="0" fontId="5" fillId="0" borderId="2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Alignment="1" applyProtection="1">
      <alignment horizontal="center" vertical="center"/>
      <protection locked="0"/>
    </xf>
    <xf numFmtId="176" fontId="5" fillId="0" borderId="25" xfId="0" applyNumberFormat="1" applyFont="1" applyBorder="1" applyAlignment="1">
      <alignment horizontal="center" vertical="center" wrapText="1"/>
    </xf>
    <xf numFmtId="176" fontId="5" fillId="0" borderId="22" xfId="0" applyNumberFormat="1" applyFont="1" applyBorder="1" applyAlignment="1">
      <alignment horizontal="center" vertical="center" wrapText="1"/>
    </xf>
    <xf numFmtId="0" fontId="5" fillId="0" borderId="34" xfId="0" applyFont="1" applyBorder="1" applyAlignment="1" applyProtection="1">
      <alignment horizontal="left" vertical="center"/>
      <protection locked="0"/>
    </xf>
    <xf numFmtId="0" fontId="5" fillId="0" borderId="77" xfId="0" applyFont="1" applyBorder="1" applyAlignment="1" applyProtection="1">
      <alignment horizontal="center" vertical="center"/>
      <protection locked="0"/>
    </xf>
    <xf numFmtId="0" fontId="5" fillId="0" borderId="79" xfId="0" applyFont="1" applyBorder="1" applyAlignment="1" applyProtection="1">
      <alignment horizontal="center" vertical="center"/>
      <protection locked="0"/>
    </xf>
    <xf numFmtId="0" fontId="5" fillId="0" borderId="95" xfId="0" applyFont="1" applyBorder="1" applyAlignment="1" applyProtection="1">
      <alignment horizontal="center" vertical="center"/>
      <protection locked="0"/>
    </xf>
    <xf numFmtId="0" fontId="5" fillId="0" borderId="0" xfId="0" applyFont="1" applyAlignment="1" applyProtection="1">
      <alignment horizontal="left" vertical="top" wrapText="1"/>
      <protection locked="0"/>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28" xfId="0" applyNumberFormat="1" applyFont="1" applyBorder="1" applyAlignment="1">
      <alignment horizontal="center" vertical="center" wrapText="1"/>
    </xf>
    <xf numFmtId="176" fontId="5" fillId="0" borderId="21" xfId="0" applyNumberFormat="1"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protection locked="0"/>
    </xf>
    <xf numFmtId="176" fontId="5" fillId="0" borderId="10" xfId="0" applyNumberFormat="1" applyFont="1" applyBorder="1" applyAlignment="1" applyProtection="1">
      <alignment horizontal="center" vertical="center"/>
      <protection locked="0"/>
    </xf>
    <xf numFmtId="176" fontId="5" fillId="0" borderId="13" xfId="0" applyNumberFormat="1" applyFont="1" applyBorder="1" applyAlignment="1" applyProtection="1">
      <alignment horizontal="center" vertical="center"/>
      <protection locked="0"/>
    </xf>
    <xf numFmtId="176" fontId="5" fillId="0" borderId="9" xfId="0" applyNumberFormat="1" applyFont="1" applyBorder="1" applyAlignment="1" applyProtection="1">
      <alignment horizontal="center" vertical="center"/>
      <protection locked="0"/>
    </xf>
    <xf numFmtId="176" fontId="5" fillId="0" borderId="21" xfId="0" applyNumberFormat="1" applyFont="1" applyBorder="1" applyAlignment="1">
      <alignment horizontal="center" vertical="center"/>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6" xfId="0" applyFont="1" applyBorder="1" applyAlignment="1" applyProtection="1">
      <alignment horizontal="left" vertical="center" wrapText="1"/>
      <protection locked="0"/>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8" fillId="0" borderId="16"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176" fontId="5" fillId="0" borderId="22" xfId="0" applyNumberFormat="1" applyFont="1" applyBorder="1" applyAlignment="1">
      <alignment horizontal="center" vertical="center"/>
    </xf>
    <xf numFmtId="0" fontId="5" fillId="0" borderId="29"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8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0" fontId="5" fillId="0" borderId="38"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84" xfId="0" applyFont="1" applyBorder="1" applyAlignment="1" applyProtection="1">
      <alignment horizontal="left" vertical="center"/>
      <protection locked="0"/>
    </xf>
    <xf numFmtId="0" fontId="5" fillId="0" borderId="85" xfId="0" applyFont="1" applyBorder="1" applyAlignment="1" applyProtection="1">
      <alignment horizontal="left" vertical="center"/>
      <protection locked="0"/>
    </xf>
    <xf numFmtId="0" fontId="5" fillId="0" borderId="49" xfId="0"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5" fillId="0" borderId="12" xfId="0" applyFont="1" applyBorder="1" applyAlignment="1" applyProtection="1">
      <alignment horizontal="center" vertical="center"/>
      <protection locked="0"/>
    </xf>
    <xf numFmtId="0" fontId="5" fillId="0" borderId="108" xfId="0" applyFont="1" applyBorder="1" applyAlignment="1" applyProtection="1">
      <alignment horizontal="left" vertical="center"/>
      <protection locked="0"/>
    </xf>
    <xf numFmtId="176" fontId="5" fillId="0" borderId="25" xfId="0" applyNumberFormat="1" applyFont="1" applyBorder="1" applyAlignment="1" applyProtection="1">
      <alignment horizontal="center" vertical="center" wrapText="1"/>
      <protection locked="0"/>
    </xf>
    <xf numFmtId="176" fontId="5" fillId="0" borderId="22" xfId="0" applyNumberFormat="1"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A0F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J113"/>
  <sheetViews>
    <sheetView tabSelected="1" zoomScale="85" zoomScaleNormal="85" workbookViewId="0">
      <selection sqref="A1:H1"/>
    </sheetView>
  </sheetViews>
  <sheetFormatPr defaultColWidth="9" defaultRowHeight="18"/>
  <cols>
    <col min="1" max="1" width="2.8984375" style="11" customWidth="1"/>
    <col min="2" max="2" width="3" style="9" customWidth="1"/>
    <col min="3" max="3" width="14.59765625" style="9" customWidth="1"/>
    <col min="4" max="4" width="32.59765625" style="9" customWidth="1"/>
    <col min="5" max="5" width="12" style="9" customWidth="1"/>
    <col min="6" max="6" width="10.19921875" style="9" customWidth="1"/>
    <col min="7" max="7" width="15.5" style="10" customWidth="1"/>
    <col min="8" max="8" width="14.19921875" style="10" customWidth="1"/>
    <col min="9" max="9" width="12.09765625" style="10" customWidth="1"/>
    <col min="10" max="10" width="29" style="10" customWidth="1"/>
    <col min="11" max="16384" width="9" style="11"/>
  </cols>
  <sheetData>
    <row r="1" spans="1:10" s="8" customFormat="1" ht="31.5" customHeight="1">
      <c r="A1" s="372" t="s">
        <v>0</v>
      </c>
      <c r="B1" s="372"/>
      <c r="C1" s="372"/>
      <c r="D1" s="372"/>
      <c r="E1" s="372"/>
      <c r="F1" s="372"/>
      <c r="G1" s="372"/>
      <c r="H1" s="372"/>
      <c r="I1" s="7"/>
      <c r="J1" s="7"/>
    </row>
    <row r="2" spans="1:10" ht="19.5" customHeight="1" thickBot="1">
      <c r="A2" s="9"/>
    </row>
    <row r="3" spans="1:10" ht="19.5" customHeight="1" thickBot="1">
      <c r="A3" s="9"/>
      <c r="C3" s="12" t="s">
        <v>1</v>
      </c>
      <c r="D3" s="12"/>
      <c r="E3" s="378" t="s">
        <v>2</v>
      </c>
      <c r="F3" s="379"/>
      <c r="G3" s="380"/>
      <c r="H3" s="9"/>
      <c r="J3" s="11"/>
    </row>
    <row r="4" spans="1:10" ht="19.5" customHeight="1">
      <c r="A4" s="9"/>
      <c r="C4" s="12"/>
      <c r="D4" s="12"/>
      <c r="E4" s="12"/>
      <c r="F4" s="12"/>
      <c r="G4" s="12"/>
      <c r="H4" s="12"/>
      <c r="J4" s="11"/>
    </row>
    <row r="5" spans="1:10" ht="19.5" customHeight="1" thickBot="1">
      <c r="A5" s="13" t="s">
        <v>3</v>
      </c>
      <c r="C5" s="12"/>
      <c r="D5" s="12"/>
      <c r="E5" s="12"/>
      <c r="F5" s="12"/>
      <c r="G5" s="12"/>
      <c r="H5" s="12"/>
      <c r="J5" s="11"/>
    </row>
    <row r="6" spans="1:10" ht="19.5" customHeight="1">
      <c r="A6" s="13"/>
      <c r="B6" s="376"/>
      <c r="C6" s="377"/>
      <c r="D6" s="377"/>
      <c r="E6" s="377"/>
      <c r="F6" s="141" t="s">
        <v>4</v>
      </c>
      <c r="G6" s="12"/>
      <c r="H6" s="12"/>
      <c r="I6" s="12"/>
    </row>
    <row r="7" spans="1:10" ht="19.5" customHeight="1">
      <c r="A7" s="13"/>
      <c r="B7" s="375" t="s">
        <v>5</v>
      </c>
      <c r="C7" s="368"/>
      <c r="D7" s="368"/>
      <c r="E7" s="368"/>
      <c r="F7" s="142">
        <v>20</v>
      </c>
      <c r="G7" s="12"/>
      <c r="H7" s="12"/>
      <c r="I7" s="12"/>
    </row>
    <row r="8" spans="1:10" ht="19.5" customHeight="1">
      <c r="A8" s="13"/>
      <c r="B8" s="373" t="s">
        <v>6</v>
      </c>
      <c r="C8" s="374"/>
      <c r="D8" s="374"/>
      <c r="E8" s="374"/>
      <c r="F8" s="158">
        <f>F9+F10</f>
        <v>20</v>
      </c>
      <c r="G8" s="12"/>
      <c r="H8" s="12"/>
      <c r="I8" s="12"/>
    </row>
    <row r="9" spans="1:10" ht="19.5" customHeight="1">
      <c r="A9" s="13"/>
      <c r="B9" s="93"/>
      <c r="C9" s="356" t="s">
        <v>7</v>
      </c>
      <c r="D9" s="357"/>
      <c r="E9" s="357"/>
      <c r="F9" s="96">
        <v>10</v>
      </c>
      <c r="G9" s="12"/>
      <c r="H9" s="12"/>
      <c r="I9" s="12"/>
    </row>
    <row r="10" spans="1:10" ht="19.5" customHeight="1">
      <c r="A10" s="13"/>
      <c r="B10" s="93"/>
      <c r="C10" s="356" t="s">
        <v>8</v>
      </c>
      <c r="D10" s="357"/>
      <c r="E10" s="357"/>
      <c r="F10" s="96">
        <v>10</v>
      </c>
      <c r="G10" s="12"/>
      <c r="H10" s="12"/>
      <c r="I10" s="12"/>
    </row>
    <row r="11" spans="1:10" ht="19.5" customHeight="1" thickBot="1">
      <c r="A11" s="13"/>
      <c r="B11" s="143"/>
      <c r="C11" s="358" t="s">
        <v>9</v>
      </c>
      <c r="D11" s="359"/>
      <c r="E11" s="359"/>
      <c r="F11" s="98">
        <v>10</v>
      </c>
      <c r="G11" s="12"/>
      <c r="H11" s="12"/>
      <c r="I11" s="12"/>
    </row>
    <row r="12" spans="1:10" ht="22.5" customHeight="1">
      <c r="A12" s="13"/>
      <c r="B12" s="99" t="s">
        <v>10</v>
      </c>
      <c r="C12" s="390" t="s">
        <v>162</v>
      </c>
      <c r="D12" s="390"/>
      <c r="E12" s="390"/>
      <c r="F12" s="390"/>
      <c r="G12" s="390"/>
      <c r="H12" s="12"/>
      <c r="I12" s="12"/>
    </row>
    <row r="13" spans="1:10" ht="22.5" customHeight="1">
      <c r="A13" s="9"/>
      <c r="B13" s="99"/>
      <c r="C13" s="390"/>
      <c r="D13" s="390"/>
      <c r="E13" s="390"/>
      <c r="F13" s="390"/>
      <c r="G13" s="390"/>
      <c r="H13" s="12"/>
      <c r="J13" s="11"/>
    </row>
    <row r="14" spans="1:10" ht="24" customHeight="1">
      <c r="B14" s="41"/>
      <c r="F14" s="10"/>
      <c r="G14" s="42"/>
      <c r="H14" s="43"/>
      <c r="J14" s="11"/>
    </row>
    <row r="15" spans="1:10" ht="19.5" customHeight="1" thickBot="1">
      <c r="A15" s="13" t="s">
        <v>11</v>
      </c>
      <c r="F15" s="10"/>
      <c r="J15" s="11"/>
    </row>
    <row r="16" spans="1:10" ht="33.75" customHeight="1">
      <c r="B16" s="144"/>
      <c r="C16" s="366"/>
      <c r="D16" s="367"/>
      <c r="E16" s="145" t="s">
        <v>12</v>
      </c>
      <c r="F16" s="146" t="s">
        <v>13</v>
      </c>
      <c r="G16" s="159" t="s">
        <v>14</v>
      </c>
      <c r="H16" s="11"/>
      <c r="I16" s="11"/>
      <c r="J16" s="11"/>
    </row>
    <row r="17" spans="2:10" ht="24" customHeight="1">
      <c r="B17" s="147" t="s">
        <v>15</v>
      </c>
      <c r="C17" s="368" t="s">
        <v>16</v>
      </c>
      <c r="D17" s="369"/>
      <c r="E17" s="343"/>
      <c r="F17" s="275"/>
      <c r="G17" s="160">
        <f>G21*1.1</f>
        <v>2.2000000000000002</v>
      </c>
      <c r="H17" s="11"/>
      <c r="I17" s="11"/>
      <c r="J17" s="11"/>
    </row>
    <row r="18" spans="2:10" ht="24" customHeight="1">
      <c r="B18" s="148"/>
      <c r="C18" s="370" t="s">
        <v>158</v>
      </c>
      <c r="D18" s="371"/>
      <c r="E18" s="68" t="s">
        <v>18</v>
      </c>
      <c r="F18" s="149"/>
      <c r="G18" s="342">
        <f>IF($E$18="あり",ROUNDDOWN(($F$9)*1/25,1),ROUNDDOWN($F$9*1/30,1))</f>
        <v>0.4</v>
      </c>
      <c r="H18" s="11"/>
      <c r="I18" s="11"/>
      <c r="J18" s="11"/>
    </row>
    <row r="19" spans="2:10" ht="24" customHeight="1">
      <c r="B19" s="148"/>
      <c r="C19" s="362" t="s">
        <v>17</v>
      </c>
      <c r="D19" s="363"/>
      <c r="E19" s="150" t="s">
        <v>18</v>
      </c>
      <c r="F19" s="277"/>
      <c r="G19" s="360">
        <f>IF($E$19="あり",IF($E$20="あり",ROUNDDOWN(($F$10-$F$11)*1/15,1)+ROUNDDOWN($F$11*1/6,1),ROUNDDOWN($F$10*1/15,1)),IF($E$20="あり",ROUNDDOWN(($F$10-$F$11)*1/20,1)+ROUNDDOWN($F$11*1/6,1),ROUNDDOWN($F$10*1/20,1)))</f>
        <v>1.6</v>
      </c>
      <c r="H19" s="25"/>
      <c r="I19" s="11"/>
      <c r="J19" s="11"/>
    </row>
    <row r="20" spans="2:10" ht="24" customHeight="1" thickBot="1">
      <c r="B20" s="273"/>
      <c r="C20" s="364" t="s">
        <v>19</v>
      </c>
      <c r="D20" s="365"/>
      <c r="E20" s="278" t="s">
        <v>18</v>
      </c>
      <c r="F20" s="279"/>
      <c r="G20" s="361"/>
      <c r="H20" s="25"/>
      <c r="I20" s="11"/>
      <c r="J20" s="11"/>
    </row>
    <row r="21" spans="2:10" ht="24" customHeight="1" thickTop="1">
      <c r="B21" s="274"/>
      <c r="C21" s="388" t="s">
        <v>20</v>
      </c>
      <c r="D21" s="389"/>
      <c r="E21" s="263"/>
      <c r="F21" s="272"/>
      <c r="G21" s="252">
        <f>ROUND(SUM($G$18:$G$20),0)</f>
        <v>2</v>
      </c>
      <c r="H21" s="25"/>
      <c r="I21" s="11"/>
      <c r="J21" s="11"/>
    </row>
    <row r="22" spans="2:10" ht="24" customHeight="1" thickBot="1">
      <c r="B22" s="216" t="s">
        <v>21</v>
      </c>
      <c r="C22" s="384" t="s">
        <v>22</v>
      </c>
      <c r="D22" s="385"/>
      <c r="E22" s="4" t="s">
        <v>18</v>
      </c>
      <c r="F22" s="261"/>
      <c r="G22" s="217">
        <f>IF(E22="あり",0.7,0)</f>
        <v>0.7</v>
      </c>
      <c r="H22" s="25"/>
      <c r="I22" s="11"/>
      <c r="J22" s="11"/>
    </row>
    <row r="23" spans="2:10" ht="24" customHeight="1" thickBot="1">
      <c r="B23" s="216" t="s">
        <v>23</v>
      </c>
      <c r="C23" s="384" t="s">
        <v>24</v>
      </c>
      <c r="D23" s="385"/>
      <c r="E23" s="109" t="s">
        <v>18</v>
      </c>
      <c r="F23" s="1">
        <v>4</v>
      </c>
      <c r="G23" s="217">
        <f>IF(E23="あり",F23*1.1,0)</f>
        <v>4.4000000000000004</v>
      </c>
      <c r="H23" s="11"/>
      <c r="I23" s="11"/>
      <c r="J23" s="11"/>
    </row>
    <row r="24" spans="2:10" ht="24" customHeight="1" thickBot="1">
      <c r="B24" s="147" t="s">
        <v>25</v>
      </c>
      <c r="C24" s="384" t="s">
        <v>26</v>
      </c>
      <c r="D24" s="385"/>
      <c r="E24" s="218" t="s">
        <v>18</v>
      </c>
      <c r="F24" s="149"/>
      <c r="G24" s="220">
        <f>IF(E24="あり",IF(F7&gt;=151,1.3,0.7),0)</f>
        <v>0.7</v>
      </c>
      <c r="H24" s="11"/>
      <c r="I24" s="11"/>
      <c r="J24" s="11"/>
    </row>
    <row r="25" spans="2:10" ht="24" customHeight="1" thickBot="1">
      <c r="B25" s="147" t="s">
        <v>27</v>
      </c>
      <c r="C25" s="391" t="s">
        <v>28</v>
      </c>
      <c r="D25" s="392"/>
      <c r="E25" s="188" t="s">
        <v>18</v>
      </c>
      <c r="F25" s="294" t="s">
        <v>29</v>
      </c>
      <c r="G25" s="217">
        <f>IF(E25="あり",IF(F25="自園調理",IF(F7&gt;=151,2.7,1.8),IF(F25="外部搬入",IF(F7&gt;=151,0.5,0.3),0)),0)</f>
        <v>1.8</v>
      </c>
      <c r="H25" s="11"/>
      <c r="I25" s="11"/>
      <c r="J25" s="11"/>
    </row>
    <row r="26" spans="2:10" ht="24" customHeight="1" thickBot="1">
      <c r="B26" s="216" t="s">
        <v>30</v>
      </c>
      <c r="C26" s="384" t="s">
        <v>31</v>
      </c>
      <c r="D26" s="385"/>
      <c r="E26" s="4" t="s">
        <v>18</v>
      </c>
      <c r="F26" s="149"/>
      <c r="G26" s="217">
        <f>IF(E26="あり",0.8,0)</f>
        <v>0.8</v>
      </c>
      <c r="H26" s="11"/>
      <c r="I26" s="11"/>
      <c r="J26" s="11"/>
    </row>
    <row r="27" spans="2:10" ht="24" customHeight="1" thickBot="1">
      <c r="B27" s="216" t="s">
        <v>32</v>
      </c>
      <c r="C27" s="368" t="s">
        <v>33</v>
      </c>
      <c r="D27" s="369"/>
      <c r="E27" s="258" t="s">
        <v>18</v>
      </c>
      <c r="F27" s="260" t="s">
        <v>34</v>
      </c>
      <c r="G27" s="217">
        <f>IF(E27="あり",IF(F27="A",0.3,IF(F27="B",0.2,0)),0)</f>
        <v>0.3</v>
      </c>
      <c r="H27" s="11"/>
      <c r="I27" s="11"/>
      <c r="J27" s="11"/>
    </row>
    <row r="28" spans="2:10" ht="24" customHeight="1">
      <c r="B28" s="216" t="s">
        <v>35</v>
      </c>
      <c r="C28" s="384" t="s">
        <v>36</v>
      </c>
      <c r="D28" s="385"/>
      <c r="E28" s="4" t="s">
        <v>18</v>
      </c>
      <c r="F28" s="293"/>
      <c r="G28" s="217">
        <f>IF(E28="あり",0.7,0)</f>
        <v>0.7</v>
      </c>
      <c r="H28" s="11"/>
      <c r="I28" s="11"/>
      <c r="J28" s="11"/>
    </row>
    <row r="29" spans="2:10" ht="24" customHeight="1">
      <c r="B29" s="216" t="s">
        <v>37</v>
      </c>
      <c r="C29" s="384" t="s">
        <v>38</v>
      </c>
      <c r="D29" s="385"/>
      <c r="E29" s="4" t="s">
        <v>18</v>
      </c>
      <c r="F29" s="151"/>
      <c r="G29" s="217">
        <f>IF(E29="あり",0.6,0)</f>
        <v>0.6</v>
      </c>
      <c r="H29" s="11"/>
      <c r="I29" s="11"/>
      <c r="J29" s="11"/>
    </row>
    <row r="30" spans="2:10" ht="24" customHeight="1">
      <c r="B30" s="221" t="s">
        <v>39</v>
      </c>
      <c r="C30" s="384" t="s">
        <v>40</v>
      </c>
      <c r="D30" s="385"/>
      <c r="E30" s="4" t="s">
        <v>18</v>
      </c>
      <c r="F30" s="151"/>
      <c r="G30" s="217">
        <f>IF(E30="あり",0.6,0)</f>
        <v>0.6</v>
      </c>
      <c r="H30" s="11"/>
      <c r="I30" s="11"/>
      <c r="J30" s="11"/>
    </row>
    <row r="31" spans="2:10" ht="24" customHeight="1" thickBot="1">
      <c r="B31" s="221" t="s">
        <v>41</v>
      </c>
      <c r="C31" s="384" t="s">
        <v>42</v>
      </c>
      <c r="D31" s="385"/>
      <c r="E31" s="4" t="s">
        <v>18</v>
      </c>
      <c r="F31" s="219"/>
      <c r="G31" s="217">
        <f>IF(E31="あり",0.5,0)</f>
        <v>0.5</v>
      </c>
      <c r="H31" s="11"/>
      <c r="I31" s="11"/>
      <c r="J31" s="11"/>
    </row>
    <row r="32" spans="2:10" ht="24" customHeight="1" thickBot="1">
      <c r="B32" s="152" t="s">
        <v>43</v>
      </c>
      <c r="C32" s="386" t="s">
        <v>44</v>
      </c>
      <c r="D32" s="387"/>
      <c r="E32" s="262" t="s">
        <v>45</v>
      </c>
      <c r="F32" s="111">
        <v>3</v>
      </c>
      <c r="G32" s="161">
        <f>IF(E32="満たさない",-F32*1.1,0)</f>
        <v>-3.3000000000000003</v>
      </c>
      <c r="H32" s="11"/>
      <c r="I32" s="11"/>
      <c r="J32" s="11"/>
    </row>
    <row r="33" spans="1:10" ht="24" customHeight="1" thickBot="1">
      <c r="B33" s="381" t="s">
        <v>46</v>
      </c>
      <c r="C33" s="382"/>
      <c r="D33" s="383"/>
      <c r="E33" s="153"/>
      <c r="F33" s="153"/>
      <c r="G33" s="162">
        <f>IF(F7&lt;=35,2.4,IF(F7&lt;=300,3.5,2.4))</f>
        <v>2.4</v>
      </c>
      <c r="H33" s="11"/>
      <c r="I33" s="11"/>
      <c r="J33" s="11"/>
    </row>
    <row r="34" spans="1:10" ht="24" customHeight="1" thickTop="1" thickBot="1">
      <c r="B34" s="154" t="s">
        <v>47</v>
      </c>
      <c r="C34" s="155"/>
      <c r="D34" s="155"/>
      <c r="E34" s="155"/>
      <c r="F34" s="113"/>
      <c r="G34" s="163">
        <f>SUM(G17,G22:G33)</f>
        <v>12.4</v>
      </c>
      <c r="H34" s="11"/>
      <c r="I34" s="11"/>
      <c r="J34" s="11"/>
    </row>
    <row r="35" spans="1:10" ht="24" customHeight="1" thickBot="1">
      <c r="B35" s="38" t="s">
        <v>48</v>
      </c>
      <c r="C35" s="39"/>
      <c r="D35" s="39"/>
      <c r="E35" s="39"/>
      <c r="F35" s="137"/>
      <c r="G35" s="224">
        <f>ROUND(G34,0)</f>
        <v>12</v>
      </c>
      <c r="I35" s="11"/>
      <c r="J35" s="11"/>
    </row>
    <row r="36" spans="1:10" ht="24" customHeight="1">
      <c r="B36" s="13"/>
      <c r="C36" s="13"/>
      <c r="D36" s="13"/>
      <c r="E36" s="13"/>
      <c r="F36" s="13"/>
      <c r="I36" s="11"/>
      <c r="J36" s="11"/>
    </row>
    <row r="37" spans="1:10" ht="27" customHeight="1" thickBot="1">
      <c r="A37" s="13" t="s">
        <v>49</v>
      </c>
      <c r="F37" s="10"/>
      <c r="J37" s="11"/>
    </row>
    <row r="38" spans="1:10" ht="21" customHeight="1" thickBot="1">
      <c r="B38" s="45"/>
      <c r="C38" s="223">
        <v>11610</v>
      </c>
      <c r="D38" s="44" t="s">
        <v>50</v>
      </c>
      <c r="E38" s="44"/>
      <c r="F38" s="157"/>
      <c r="G38" s="64">
        <f>C38*G35</f>
        <v>139320</v>
      </c>
      <c r="I38" s="11"/>
      <c r="J38" s="11"/>
    </row>
    <row r="39" spans="1:10" ht="33.75" customHeight="1"/>
    <row r="40" spans="1:10" ht="33.75" customHeight="1"/>
    <row r="41" spans="1:10" ht="33.75" customHeight="1"/>
    <row r="42" spans="1:10" ht="33.75" customHeight="1"/>
    <row r="43" spans="1:10" ht="33.75" customHeight="1"/>
    <row r="44" spans="1:10" ht="33.75" customHeight="1"/>
    <row r="45" spans="1:10" ht="33.75" customHeight="1"/>
    <row r="46" spans="1:10" ht="33.75" customHeight="1"/>
    <row r="47" spans="1:10" ht="33.75" customHeight="1"/>
    <row r="48" spans="1:10" ht="33.75" customHeight="1"/>
    <row r="49" ht="33.75" customHeight="1"/>
    <row r="50" ht="33.75" customHeight="1"/>
    <row r="51" ht="33.75" customHeight="1"/>
    <row r="52" ht="33.7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sheetData>
  <mergeCells count="28">
    <mergeCell ref="C21:D21"/>
    <mergeCell ref="C12:G13"/>
    <mergeCell ref="C27:D27"/>
    <mergeCell ref="C22:D22"/>
    <mergeCell ref="C23:D23"/>
    <mergeCell ref="C24:D24"/>
    <mergeCell ref="C25:D25"/>
    <mergeCell ref="C26:D26"/>
    <mergeCell ref="B33:D33"/>
    <mergeCell ref="C28:D28"/>
    <mergeCell ref="C29:D29"/>
    <mergeCell ref="C30:D30"/>
    <mergeCell ref="C31:D31"/>
    <mergeCell ref="C32:D32"/>
    <mergeCell ref="A1:H1"/>
    <mergeCell ref="B8:E8"/>
    <mergeCell ref="B7:E7"/>
    <mergeCell ref="B6:E6"/>
    <mergeCell ref="C9:E9"/>
    <mergeCell ref="E3:G3"/>
    <mergeCell ref="C10:E10"/>
    <mergeCell ref="C11:E11"/>
    <mergeCell ref="G19:G20"/>
    <mergeCell ref="C19:D19"/>
    <mergeCell ref="C20:D20"/>
    <mergeCell ref="C16:D16"/>
    <mergeCell ref="C17:D17"/>
    <mergeCell ref="C18:D18"/>
  </mergeCells>
  <phoneticPr fontId="1"/>
  <dataValidations count="4">
    <dataValidation type="list" allowBlank="1" showInputMessage="1" showErrorMessage="1" sqref="E32" xr:uid="{00000000-0002-0000-0000-000000000000}">
      <formula1>"　,満たす,満たさない"</formula1>
    </dataValidation>
    <dataValidation type="list" allowBlank="1" showInputMessage="1" showErrorMessage="1" sqref="E18:E20 E22:E31" xr:uid="{00000000-0002-0000-0000-000001000000}">
      <formula1>"　,あり,なし"</formula1>
    </dataValidation>
    <dataValidation type="list" allowBlank="1" showInputMessage="1" showErrorMessage="1" sqref="F25" xr:uid="{DB1CB489-D91C-4442-A00C-65C77FDFE24A}">
      <formula1>"自園調理,外部搬入"</formula1>
    </dataValidation>
    <dataValidation type="list" allowBlank="1" showInputMessage="1" showErrorMessage="1" sqref="F27" xr:uid="{DEC60102-DC54-41FD-9F12-D92E78D81066}">
      <formula1>"A,B"</formula1>
    </dataValidation>
  </dataValidations>
  <pageMargins left="0.92" right="0.56000000000000005" top="0.75" bottom="0.75" header="0.3" footer="0.3"/>
  <pageSetup paperSize="9" scale="74"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118"/>
  <sheetViews>
    <sheetView view="pageBreakPreview" zoomScale="60" zoomScaleNormal="70" workbookViewId="0">
      <selection activeCell="J35" sqref="J35"/>
    </sheetView>
  </sheetViews>
  <sheetFormatPr defaultColWidth="9" defaultRowHeight="18"/>
  <cols>
    <col min="1" max="1" width="2.8984375" style="11" customWidth="1"/>
    <col min="2" max="2" width="3" style="9" customWidth="1"/>
    <col min="3" max="3" width="12.09765625" style="9" customWidth="1"/>
    <col min="4" max="4" width="20.59765625" style="9" customWidth="1"/>
    <col min="5" max="5" width="10" style="9" customWidth="1"/>
    <col min="6" max="6" width="9.59765625" style="10" customWidth="1"/>
    <col min="7" max="7" width="12.19921875" style="10" hidden="1" customWidth="1"/>
    <col min="8" max="8" width="13.09765625" style="10" customWidth="1"/>
    <col min="9" max="9" width="10" style="10" customWidth="1"/>
    <col min="10" max="10" width="10" style="11" customWidth="1"/>
    <col min="11" max="11" width="12.59765625" style="11" hidden="1" customWidth="1"/>
    <col min="12" max="12" width="13.09765625" style="11" customWidth="1"/>
    <col min="13" max="16384" width="9" style="11"/>
  </cols>
  <sheetData>
    <row r="1" spans="1:12" s="8" customFormat="1" ht="23.25" customHeight="1">
      <c r="A1" s="6" t="s">
        <v>51</v>
      </c>
      <c r="B1" s="6"/>
      <c r="C1" s="6"/>
      <c r="D1" s="6"/>
      <c r="E1" s="6"/>
      <c r="F1" s="7"/>
      <c r="G1" s="7"/>
      <c r="H1" s="7"/>
      <c r="I1" s="7"/>
    </row>
    <row r="2" spans="1:12" ht="19.5" customHeight="1" thickBot="1">
      <c r="A2" s="9"/>
    </row>
    <row r="3" spans="1:12" ht="19.5" customHeight="1" thickBot="1">
      <c r="A3" s="9"/>
      <c r="C3" s="398" t="s">
        <v>1</v>
      </c>
      <c r="D3" s="398"/>
      <c r="E3" s="378" t="s">
        <v>52</v>
      </c>
      <c r="F3" s="379"/>
      <c r="G3" s="379"/>
      <c r="H3" s="380"/>
    </row>
    <row r="4" spans="1:12" ht="19.5" customHeight="1">
      <c r="A4" s="9"/>
      <c r="E4" s="12"/>
      <c r="F4" s="12"/>
      <c r="G4" s="12"/>
      <c r="H4" s="12"/>
    </row>
    <row r="5" spans="1:12" ht="19.5" customHeight="1" thickBot="1">
      <c r="A5" s="13" t="s">
        <v>3</v>
      </c>
      <c r="E5" s="12"/>
      <c r="F5" s="12"/>
      <c r="G5" s="12"/>
      <c r="H5" s="12"/>
    </row>
    <row r="6" spans="1:12" ht="19.5" customHeight="1" thickBot="1">
      <c r="A6" s="13"/>
      <c r="B6" s="17"/>
      <c r="C6" s="100"/>
      <c r="D6" s="100"/>
      <c r="E6" s="127" t="s">
        <v>53</v>
      </c>
      <c r="F6" s="125" t="s">
        <v>4</v>
      </c>
      <c r="G6" s="12"/>
      <c r="H6" s="12"/>
      <c r="I6" s="125" t="s">
        <v>4</v>
      </c>
    </row>
    <row r="7" spans="1:12" ht="37.5" customHeight="1" thickBot="1">
      <c r="A7" s="13"/>
      <c r="B7" s="375" t="s">
        <v>54</v>
      </c>
      <c r="C7" s="368"/>
      <c r="D7" s="368"/>
      <c r="E7" s="165" t="s">
        <v>18</v>
      </c>
      <c r="F7" s="14" t="s">
        <v>55</v>
      </c>
      <c r="G7" s="12"/>
      <c r="H7" s="12"/>
      <c r="I7" s="187" t="str">
        <f>IF(E7="あり","分園分を記入","入力不要")</f>
        <v>分園分を記入</v>
      </c>
    </row>
    <row r="8" spans="1:12" ht="19.5" customHeight="1" thickBot="1">
      <c r="A8" s="13"/>
      <c r="B8" s="375" t="s">
        <v>5</v>
      </c>
      <c r="C8" s="368"/>
      <c r="D8" s="368"/>
      <c r="E8" s="368"/>
      <c r="F8" s="1">
        <v>100</v>
      </c>
      <c r="G8" s="12"/>
      <c r="H8" s="12"/>
      <c r="I8" s="1">
        <v>20</v>
      </c>
    </row>
    <row r="9" spans="1:12" ht="19.5" customHeight="1" thickBot="1">
      <c r="A9" s="13"/>
      <c r="B9" s="373" t="s">
        <v>56</v>
      </c>
      <c r="C9" s="374"/>
      <c r="D9" s="374"/>
      <c r="E9" s="374"/>
      <c r="F9" s="118">
        <f>F10+F11+F12+F13</f>
        <v>100</v>
      </c>
      <c r="H9" s="12"/>
      <c r="I9" s="118">
        <f>I10+I11+I12+I13</f>
        <v>20</v>
      </c>
    </row>
    <row r="10" spans="1:12" ht="19.5" customHeight="1">
      <c r="A10" s="13"/>
      <c r="B10" s="93"/>
      <c r="C10" s="356" t="s">
        <v>7</v>
      </c>
      <c r="D10" s="357"/>
      <c r="E10" s="94"/>
      <c r="F10" s="95">
        <v>40</v>
      </c>
      <c r="G10" s="12"/>
      <c r="H10" s="12"/>
      <c r="I10" s="95">
        <v>5</v>
      </c>
    </row>
    <row r="11" spans="1:12" ht="19.5" customHeight="1">
      <c r="A11" s="13"/>
      <c r="B11" s="93"/>
      <c r="C11" s="356" t="s">
        <v>57</v>
      </c>
      <c r="D11" s="357"/>
      <c r="E11" s="94"/>
      <c r="F11" s="96">
        <v>30</v>
      </c>
      <c r="G11" s="12"/>
      <c r="H11" s="12"/>
      <c r="I11" s="96">
        <v>5</v>
      </c>
    </row>
    <row r="12" spans="1:12" ht="19.5" customHeight="1">
      <c r="A12" s="13"/>
      <c r="B12" s="93"/>
      <c r="C12" s="357" t="s">
        <v>58</v>
      </c>
      <c r="D12" s="401"/>
      <c r="E12" s="94"/>
      <c r="F12" s="96">
        <v>20</v>
      </c>
      <c r="G12" s="12"/>
      <c r="H12" s="12"/>
      <c r="I12" s="96">
        <v>5</v>
      </c>
    </row>
    <row r="13" spans="1:12" ht="19.5" customHeight="1" thickBot="1">
      <c r="A13" s="9"/>
      <c r="B13" s="71"/>
      <c r="C13" s="358" t="s">
        <v>59</v>
      </c>
      <c r="D13" s="359"/>
      <c r="E13" s="97"/>
      <c r="F13" s="98">
        <v>10</v>
      </c>
      <c r="G13" s="12"/>
      <c r="H13" s="12"/>
      <c r="I13" s="98">
        <v>5</v>
      </c>
    </row>
    <row r="14" spans="1:12" ht="42.75" customHeight="1">
      <c r="A14" s="9"/>
      <c r="B14" s="164" t="s">
        <v>10</v>
      </c>
      <c r="C14" s="405" t="s">
        <v>162</v>
      </c>
      <c r="D14" s="405"/>
      <c r="E14" s="405"/>
      <c r="F14" s="405"/>
      <c r="G14" s="405"/>
      <c r="H14" s="405"/>
      <c r="I14" s="405"/>
      <c r="J14" s="405"/>
      <c r="K14" s="405"/>
      <c r="L14" s="405"/>
    </row>
    <row r="15" spans="1:12" ht="19.5" customHeight="1">
      <c r="A15" s="9"/>
      <c r="B15" s="99"/>
      <c r="C15" s="204"/>
      <c r="D15" s="204"/>
      <c r="E15" s="204"/>
      <c r="F15" s="204"/>
      <c r="G15" s="204"/>
      <c r="H15" s="204"/>
    </row>
    <row r="16" spans="1:12" ht="19.5" customHeight="1" thickBot="1">
      <c r="A16" s="13" t="s">
        <v>11</v>
      </c>
    </row>
    <row r="17" spans="1:12" ht="19.5" customHeight="1" thickBot="1">
      <c r="A17" s="13"/>
      <c r="E17" s="402" t="s">
        <v>60</v>
      </c>
      <c r="F17" s="403"/>
      <c r="G17" s="403"/>
      <c r="H17" s="404"/>
      <c r="I17" s="406" t="str">
        <f>IF(E7="あり","分園分","選択不要")</f>
        <v>分園分</v>
      </c>
      <c r="J17" s="407"/>
      <c r="K17" s="407"/>
      <c r="L17" s="408"/>
    </row>
    <row r="18" spans="1:12" ht="33" customHeight="1">
      <c r="B18" s="17"/>
      <c r="C18" s="100"/>
      <c r="D18" s="100"/>
      <c r="E18" s="189" t="s">
        <v>12</v>
      </c>
      <c r="F18" s="190"/>
      <c r="G18" s="399" t="s">
        <v>14</v>
      </c>
      <c r="H18" s="400"/>
      <c r="I18" s="166" t="s">
        <v>12</v>
      </c>
      <c r="J18" s="167"/>
      <c r="K18" s="409" t="s">
        <v>14</v>
      </c>
      <c r="L18" s="410"/>
    </row>
    <row r="19" spans="1:12" ht="19.5" customHeight="1">
      <c r="B19" s="20" t="s">
        <v>15</v>
      </c>
      <c r="C19" s="100" t="s">
        <v>16</v>
      </c>
      <c r="D19" s="128"/>
      <c r="E19" s="180"/>
      <c r="F19" s="129"/>
      <c r="G19" s="124"/>
      <c r="H19" s="276">
        <f>H26*1.3</f>
        <v>14.3</v>
      </c>
      <c r="I19" s="284"/>
      <c r="J19" s="285"/>
      <c r="K19" s="172"/>
      <c r="L19" s="276">
        <f>L26*1.3</f>
        <v>2.6</v>
      </c>
    </row>
    <row r="20" spans="1:12" ht="19.5" customHeight="1">
      <c r="B20" s="23"/>
      <c r="C20" s="104" t="s">
        <v>61</v>
      </c>
      <c r="D20" s="177"/>
      <c r="E20" s="181"/>
      <c r="F20" s="121">
        <f>F10</f>
        <v>40</v>
      </c>
      <c r="G20" s="49">
        <f>IF(E21="なし",F20/30,0)</f>
        <v>0</v>
      </c>
      <c r="H20" s="280">
        <f t="shared" ref="H20:H25" si="0">ROUNDDOWN(G20,1)</f>
        <v>0</v>
      </c>
      <c r="I20" s="104"/>
      <c r="J20" s="121">
        <f>IF(E7="あり",I10,0)</f>
        <v>5</v>
      </c>
      <c r="K20" s="344" t="str">
        <f>IF(E21="なし",J20/30,"0")</f>
        <v>0</v>
      </c>
      <c r="L20" s="280">
        <f>ROUNDDOWN(K20,1)</f>
        <v>0</v>
      </c>
    </row>
    <row r="21" spans="1:12" ht="19.5" customHeight="1">
      <c r="B21" s="23"/>
      <c r="C21" s="370" t="s">
        <v>159</v>
      </c>
      <c r="D21" s="371"/>
      <c r="E21" s="183" t="s">
        <v>18</v>
      </c>
      <c r="F21" s="340">
        <f>IF($E$7="あり",F10+I10,F10)</f>
        <v>45</v>
      </c>
      <c r="G21" s="49">
        <f>IF(E21="あり",F21/25,0)</f>
        <v>1.8</v>
      </c>
      <c r="H21" s="281">
        <f t="shared" si="0"/>
        <v>1.8</v>
      </c>
      <c r="I21" s="341" t="s">
        <v>64</v>
      </c>
      <c r="J21" s="103"/>
      <c r="K21" s="123"/>
      <c r="L21" s="311"/>
    </row>
    <row r="22" spans="1:12" ht="19.5" customHeight="1">
      <c r="B22" s="23"/>
      <c r="C22" s="24" t="s">
        <v>62</v>
      </c>
      <c r="D22" s="178"/>
      <c r="E22" s="182"/>
      <c r="F22" s="120">
        <f>F11</f>
        <v>30</v>
      </c>
      <c r="G22" s="49">
        <f>IF(E23="なし",F22/20,0)</f>
        <v>0</v>
      </c>
      <c r="H22" s="281">
        <f t="shared" si="0"/>
        <v>0</v>
      </c>
      <c r="I22" s="9"/>
      <c r="J22" s="121">
        <f>IF(E7="あり",I11,0)</f>
        <v>5</v>
      </c>
      <c r="K22" s="344" t="str">
        <f>IF(E23="なし",J22/20,"0")</f>
        <v>0</v>
      </c>
      <c r="L22" s="281">
        <f>ROUNDDOWN(K22,1)</f>
        <v>0</v>
      </c>
    </row>
    <row r="23" spans="1:12" ht="19.5" customHeight="1">
      <c r="B23" s="23"/>
      <c r="C23" s="24" t="s">
        <v>63</v>
      </c>
      <c r="D23" s="178"/>
      <c r="E23" s="183" t="s">
        <v>18</v>
      </c>
      <c r="F23" s="340">
        <f>IF($E$7="あり",F11+I11,F11)</f>
        <v>35</v>
      </c>
      <c r="G23" s="49">
        <f>IF(E23="あり",F23/15,0)</f>
        <v>2.3333333333333335</v>
      </c>
      <c r="H23" s="281">
        <f t="shared" si="0"/>
        <v>2.2999999999999998</v>
      </c>
      <c r="I23" s="341" t="s">
        <v>64</v>
      </c>
      <c r="J23" s="103"/>
      <c r="K23" s="123"/>
      <c r="L23" s="311"/>
    </row>
    <row r="24" spans="1:12" ht="19.5" customHeight="1">
      <c r="B24" s="23"/>
      <c r="C24" s="24" t="s">
        <v>58</v>
      </c>
      <c r="D24" s="178"/>
      <c r="E24" s="184"/>
      <c r="F24" s="120">
        <f>F12</f>
        <v>20</v>
      </c>
      <c r="G24" s="49">
        <f>F24*1/6</f>
        <v>3.3333333333333335</v>
      </c>
      <c r="H24" s="281">
        <f t="shared" si="0"/>
        <v>3.3</v>
      </c>
      <c r="I24" s="24"/>
      <c r="J24" s="121">
        <f>IF(E7="あり",I12,0)</f>
        <v>5</v>
      </c>
      <c r="K24" s="49">
        <f>J24*1/6</f>
        <v>0.83333333333333337</v>
      </c>
      <c r="L24" s="281">
        <f>ROUNDDOWN(K24,1)</f>
        <v>0.8</v>
      </c>
    </row>
    <row r="25" spans="1:12" ht="19.5" customHeight="1" thickBot="1">
      <c r="B25" s="23"/>
      <c r="C25" s="192" t="s">
        <v>59</v>
      </c>
      <c r="D25" s="179"/>
      <c r="E25" s="170"/>
      <c r="F25" s="122">
        <f>F13</f>
        <v>10</v>
      </c>
      <c r="G25" s="50">
        <f>F25*1/3</f>
        <v>3.3333333333333335</v>
      </c>
      <c r="H25" s="282">
        <f t="shared" si="0"/>
        <v>3.3</v>
      </c>
      <c r="I25" s="170"/>
      <c r="J25" s="122">
        <f>IF(E7="あり",I13,0)</f>
        <v>5</v>
      </c>
      <c r="K25" s="50">
        <f>J25*1/3</f>
        <v>1.6666666666666667</v>
      </c>
      <c r="L25" s="282">
        <f>ROUNDDOWN(K25,1)</f>
        <v>1.6</v>
      </c>
    </row>
    <row r="26" spans="1:12" ht="19.5" customHeight="1" thickTop="1">
      <c r="B26" s="23"/>
      <c r="C26" s="105" t="s">
        <v>65</v>
      </c>
      <c r="D26" s="26"/>
      <c r="E26" s="185"/>
      <c r="F26" s="130"/>
      <c r="G26" s="51"/>
      <c r="H26" s="283">
        <f>ROUND(SUM(H20:H25),0)</f>
        <v>11</v>
      </c>
      <c r="J26" s="171"/>
      <c r="K26" s="51"/>
      <c r="L26" s="283">
        <f>ROUND(SUM(L20:L25),0)</f>
        <v>2</v>
      </c>
    </row>
    <row r="27" spans="1:12" ht="19.5" customHeight="1">
      <c r="B27" s="236" t="s">
        <v>21</v>
      </c>
      <c r="C27" s="107" t="s">
        <v>66</v>
      </c>
      <c r="D27" s="231"/>
      <c r="E27" s="230" t="s">
        <v>18</v>
      </c>
      <c r="F27" s="129"/>
      <c r="G27" s="52"/>
      <c r="H27" s="53">
        <f>IF(E27="あり",1.7,0)</f>
        <v>1.7</v>
      </c>
      <c r="I27" s="109" t="s">
        <v>18</v>
      </c>
      <c r="J27" s="129"/>
      <c r="K27" s="52"/>
      <c r="L27" s="53">
        <f>IF(E7="あり",IF(I27="あり",1.7,0),0)</f>
        <v>1.7</v>
      </c>
    </row>
    <row r="28" spans="1:12" ht="19.5" customHeight="1" thickBot="1">
      <c r="B28" s="236" t="s">
        <v>23</v>
      </c>
      <c r="C28" s="107" t="s">
        <v>67</v>
      </c>
      <c r="D28" s="231"/>
      <c r="E28" s="230" t="s">
        <v>18</v>
      </c>
      <c r="F28" s="129"/>
      <c r="G28" s="232"/>
      <c r="H28" s="53">
        <f>IF(E28="あり",1.2,0)</f>
        <v>1.2</v>
      </c>
      <c r="I28" s="396" t="str">
        <f>IF($E$7="あり","本園分で選択","－")</f>
        <v>本園分で選択</v>
      </c>
      <c r="J28" s="397"/>
      <c r="K28" s="172"/>
      <c r="L28" s="173"/>
    </row>
    <row r="29" spans="1:12" ht="19.5" customHeight="1" thickBot="1">
      <c r="B29" s="236" t="s">
        <v>25</v>
      </c>
      <c r="C29" s="368" t="s">
        <v>33</v>
      </c>
      <c r="D29" s="393"/>
      <c r="E29" s="258" t="s">
        <v>18</v>
      </c>
      <c r="F29" s="260" t="s">
        <v>34</v>
      </c>
      <c r="G29" s="52"/>
      <c r="H29" s="53">
        <f>IF(E29="あり",IF(F29="A",0.4,IF(F29="B",0.3,0)),0)</f>
        <v>0.4</v>
      </c>
      <c r="I29" s="394" t="str">
        <f t="shared" ref="I29:I36" si="1">IF($E$7="あり","本園分で選択","－")</f>
        <v>本園分で選択</v>
      </c>
      <c r="J29" s="395"/>
      <c r="K29" s="172"/>
      <c r="L29" s="173"/>
    </row>
    <row r="30" spans="1:12" ht="19.5" customHeight="1" thickBot="1">
      <c r="B30" s="236" t="s">
        <v>27</v>
      </c>
      <c r="C30" s="107" t="s">
        <v>68</v>
      </c>
      <c r="D30" s="231"/>
      <c r="E30" s="229" t="s">
        <v>18</v>
      </c>
      <c r="F30" s="234"/>
      <c r="G30" s="233"/>
      <c r="H30" s="228">
        <f>IF(E30="あり",0.4,0)</f>
        <v>0.4</v>
      </c>
      <c r="I30" s="394" t="str">
        <f t="shared" si="1"/>
        <v>本園分で選択</v>
      </c>
      <c r="J30" s="395"/>
      <c r="K30" s="172"/>
      <c r="L30" s="173"/>
    </row>
    <row r="31" spans="1:12" ht="33" customHeight="1" thickBot="1">
      <c r="B31" s="236" t="s">
        <v>30</v>
      </c>
      <c r="C31" s="368" t="s">
        <v>69</v>
      </c>
      <c r="D31" s="393"/>
      <c r="E31" s="197" t="s">
        <v>18</v>
      </c>
      <c r="F31" s="244" t="s">
        <v>70</v>
      </c>
      <c r="G31" s="227">
        <f>VLOOKUP(F31,$C$45:$D$58,2,FALSE)</f>
        <v>0.5</v>
      </c>
      <c r="H31" s="53">
        <f>IF(E31="あり",G31,0)</f>
        <v>0.5</v>
      </c>
      <c r="I31" s="396" t="str">
        <f t="shared" si="1"/>
        <v>本園分で選択</v>
      </c>
      <c r="J31" s="397"/>
      <c r="K31" s="172"/>
      <c r="L31" s="173"/>
    </row>
    <row r="32" spans="1:12" ht="19.5" customHeight="1" thickBot="1">
      <c r="B32" s="237" t="s">
        <v>32</v>
      </c>
      <c r="C32" s="368" t="s">
        <v>71</v>
      </c>
      <c r="D32" s="393"/>
      <c r="E32" s="186" t="s">
        <v>18</v>
      </c>
      <c r="F32" s="37"/>
      <c r="G32" s="245"/>
      <c r="H32" s="228">
        <f>IF(E32="あり",2.7,0)</f>
        <v>2.7</v>
      </c>
      <c r="I32" s="394" t="str">
        <f>IF($E$7="あり","本園分で選択","－")</f>
        <v>本園分で選択</v>
      </c>
      <c r="J32" s="395"/>
      <c r="K32" s="172"/>
      <c r="L32" s="173"/>
    </row>
    <row r="33" spans="1:12" ht="19.5" customHeight="1" thickBot="1">
      <c r="B33" s="237" t="s">
        <v>35</v>
      </c>
      <c r="C33" s="107" t="s">
        <v>72</v>
      </c>
      <c r="D33" s="128"/>
      <c r="E33" s="197" t="s">
        <v>18</v>
      </c>
      <c r="F33" s="1">
        <v>1</v>
      </c>
      <c r="G33" s="232"/>
      <c r="H33" s="53">
        <f>IF(E33="あり",F33*1.3,0)</f>
        <v>1.3</v>
      </c>
      <c r="I33" s="396" t="str">
        <f t="shared" si="1"/>
        <v>本園分で選択</v>
      </c>
      <c r="J33" s="397"/>
      <c r="K33" s="172"/>
      <c r="L33" s="173"/>
    </row>
    <row r="34" spans="1:12" ht="19.5" customHeight="1">
      <c r="B34" s="237" t="s">
        <v>37</v>
      </c>
      <c r="C34" s="368" t="s">
        <v>42</v>
      </c>
      <c r="D34" s="393"/>
      <c r="E34" s="186" t="s">
        <v>18</v>
      </c>
      <c r="F34" s="235"/>
      <c r="G34" s="52"/>
      <c r="H34" s="53">
        <f>IF(E34="あり",0.6,0)</f>
        <v>0.6</v>
      </c>
      <c r="I34" s="394" t="str">
        <f t="shared" si="1"/>
        <v>本園分で選択</v>
      </c>
      <c r="J34" s="395"/>
      <c r="K34" s="211"/>
      <c r="L34" s="212"/>
    </row>
    <row r="35" spans="1:12" ht="19.5" customHeight="1">
      <c r="B35" s="237" t="s">
        <v>39</v>
      </c>
      <c r="C35" s="375" t="s">
        <v>73</v>
      </c>
      <c r="D35" s="393"/>
      <c r="E35" s="394" t="str">
        <f>IF($E$7="あり","分園分で選択","－")</f>
        <v>分園分で選択</v>
      </c>
      <c r="F35" s="395"/>
      <c r="G35" s="250"/>
      <c r="H35" s="247"/>
      <c r="I35" s="238"/>
      <c r="J35" s="251">
        <f>IF(I8&lt;=40,-1.3,IF(I8&gt;=151,-3.8,-2.6))</f>
        <v>-1.3</v>
      </c>
      <c r="K35" s="172"/>
      <c r="L35" s="292">
        <f>IF(E7="あり",J35,0)</f>
        <v>-1.3</v>
      </c>
    </row>
    <row r="36" spans="1:12" ht="19.5" customHeight="1">
      <c r="B36" s="237" t="s">
        <v>41</v>
      </c>
      <c r="C36" s="375" t="s">
        <v>74</v>
      </c>
      <c r="D36" s="393"/>
      <c r="E36" s="186" t="s">
        <v>75</v>
      </c>
      <c r="F36" s="213"/>
      <c r="G36" s="52"/>
      <c r="H36" s="54">
        <f>IF(E36="該当",-1,0)</f>
        <v>-1</v>
      </c>
      <c r="I36" s="394" t="str">
        <f t="shared" si="1"/>
        <v>本園分で選択</v>
      </c>
      <c r="J36" s="395"/>
      <c r="K36" s="172"/>
      <c r="L36" s="173"/>
    </row>
    <row r="37" spans="1:12" ht="19.5" customHeight="1" thickBot="1">
      <c r="B37" s="131" t="s">
        <v>76</v>
      </c>
      <c r="C37" s="132"/>
      <c r="D37" s="132"/>
      <c r="E37" s="242"/>
      <c r="F37" s="133"/>
      <c r="G37" s="138"/>
      <c r="H37" s="139">
        <f>IF(F8&lt;=30,4.5,IF(F8&lt;=40,4.2,IF(F8&lt;=90,5.4,IF(F8&lt;=150,5.1,6.3))))</f>
        <v>5.0999999999999996</v>
      </c>
      <c r="I37" s="239"/>
      <c r="J37" s="240"/>
      <c r="K37" s="241"/>
      <c r="L37" s="139">
        <f>IF(E7="あり",IF(I8&lt;=30,4.5,IF(I8&lt;=40,4.2,IF(I8&lt;=90,5.4,IF(I8&lt;=150,5.1,6.3)))),0)</f>
        <v>4.5</v>
      </c>
    </row>
    <row r="38" spans="1:12" ht="19.5" customHeight="1" thickTop="1" thickBot="1">
      <c r="B38" s="36" t="s">
        <v>47</v>
      </c>
      <c r="C38" s="41"/>
      <c r="D38" s="41"/>
      <c r="E38" s="243"/>
      <c r="F38" s="134"/>
      <c r="G38" s="57"/>
      <c r="H38" s="58">
        <f>SUM(H36:H37,H19,H27:H34)</f>
        <v>27.199999999999996</v>
      </c>
      <c r="J38" s="169"/>
      <c r="K38" s="168"/>
      <c r="L38" s="58">
        <f>SUM(L19,L27,L35,L37)</f>
        <v>7.5</v>
      </c>
    </row>
    <row r="39" spans="1:12" ht="19.5" customHeight="1" thickBot="1">
      <c r="B39" s="38" t="s">
        <v>48</v>
      </c>
      <c r="C39" s="135"/>
      <c r="D39" s="135"/>
      <c r="E39" s="156"/>
      <c r="F39" s="136"/>
      <c r="G39" s="59"/>
      <c r="H39" s="140">
        <f>ROUND(H38,0)</f>
        <v>27</v>
      </c>
      <c r="I39" s="174"/>
      <c r="J39" s="175"/>
      <c r="K39" s="176"/>
      <c r="L39" s="140">
        <f>IF(E7="あり",ROUND(L38,0),0)</f>
        <v>8</v>
      </c>
    </row>
    <row r="40" spans="1:12" ht="19.5" customHeight="1">
      <c r="H40" s="43"/>
    </row>
    <row r="41" spans="1:12" ht="19.5" customHeight="1" thickBot="1">
      <c r="A41" s="13" t="s">
        <v>77</v>
      </c>
    </row>
    <row r="42" spans="1:12" ht="19.5" customHeight="1" thickBot="1">
      <c r="B42" s="45"/>
      <c r="C42" s="46">
        <v>11030</v>
      </c>
      <c r="D42" s="44" t="s">
        <v>78</v>
      </c>
      <c r="E42" s="39"/>
      <c r="F42" s="137"/>
      <c r="G42" s="72"/>
      <c r="H42" s="64">
        <f>C42*(H39+L39)</f>
        <v>386050</v>
      </c>
    </row>
    <row r="43" spans="1:12" ht="19.5" customHeight="1"/>
    <row r="44" spans="1:12" hidden="1">
      <c r="C44" s="11" t="s">
        <v>79</v>
      </c>
      <c r="D44" s="11"/>
    </row>
    <row r="45" spans="1:12" hidden="1">
      <c r="C45" s="11" t="s">
        <v>70</v>
      </c>
      <c r="D45" s="11">
        <v>0.5</v>
      </c>
    </row>
    <row r="46" spans="1:12" hidden="1">
      <c r="C46" s="11" t="s">
        <v>80</v>
      </c>
      <c r="D46" s="11">
        <v>0.5</v>
      </c>
    </row>
    <row r="47" spans="1:12" hidden="1">
      <c r="C47" s="11" t="s">
        <v>81</v>
      </c>
      <c r="D47" s="11">
        <v>0.6</v>
      </c>
    </row>
    <row r="48" spans="1:12" hidden="1">
      <c r="C48" s="11" t="s">
        <v>82</v>
      </c>
      <c r="D48" s="11">
        <v>0.7</v>
      </c>
    </row>
    <row r="49" spans="3:4" hidden="1">
      <c r="C49" s="11" t="s">
        <v>83</v>
      </c>
      <c r="D49" s="11">
        <v>0.8</v>
      </c>
    </row>
    <row r="50" spans="3:4" hidden="1">
      <c r="C50" s="11" t="s">
        <v>84</v>
      </c>
      <c r="D50" s="11">
        <v>0.8</v>
      </c>
    </row>
    <row r="51" spans="3:4" hidden="1">
      <c r="C51" s="11" t="s">
        <v>85</v>
      </c>
      <c r="D51" s="11">
        <v>0.9</v>
      </c>
    </row>
    <row r="52" spans="3:4" hidden="1">
      <c r="C52" s="11" t="s">
        <v>86</v>
      </c>
      <c r="D52" s="11">
        <v>1</v>
      </c>
    </row>
    <row r="53" spans="3:4" hidden="1">
      <c r="C53" s="11" t="s">
        <v>87</v>
      </c>
      <c r="D53" s="11">
        <v>1.1000000000000001</v>
      </c>
    </row>
    <row r="54" spans="3:4" hidden="1">
      <c r="C54" s="11" t="s">
        <v>88</v>
      </c>
      <c r="D54" s="11">
        <v>1.1000000000000001</v>
      </c>
    </row>
    <row r="55" spans="3:4" hidden="1">
      <c r="C55" s="11" t="s">
        <v>89</v>
      </c>
      <c r="D55" s="11">
        <v>1.2</v>
      </c>
    </row>
    <row r="56" spans="3:4" hidden="1">
      <c r="C56" s="11" t="s">
        <v>90</v>
      </c>
      <c r="D56" s="11">
        <v>1.3</v>
      </c>
    </row>
    <row r="57" spans="3:4" hidden="1">
      <c r="C57" s="11" t="s">
        <v>91</v>
      </c>
      <c r="D57" s="11">
        <v>1.4</v>
      </c>
    </row>
    <row r="58" spans="3:4" hidden="1">
      <c r="C58" s="11" t="s">
        <v>92</v>
      </c>
      <c r="D58" s="11">
        <v>1.5</v>
      </c>
    </row>
    <row r="59" spans="3:4" ht="20.25" customHeight="1"/>
    <row r="60" spans="3:4" ht="20.25" customHeight="1"/>
    <row r="61" spans="3:4" ht="20.25" customHeight="1"/>
    <row r="62" spans="3:4" ht="20.25" customHeight="1"/>
    <row r="63" spans="3:4" ht="20.25" customHeight="1"/>
    <row r="64" spans="3: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sheetData>
  <mergeCells count="30">
    <mergeCell ref="B9:E9"/>
    <mergeCell ref="I33:J33"/>
    <mergeCell ref="B8:E8"/>
    <mergeCell ref="C3:D3"/>
    <mergeCell ref="G18:H18"/>
    <mergeCell ref="C13:D13"/>
    <mergeCell ref="C12:D12"/>
    <mergeCell ref="C11:D11"/>
    <mergeCell ref="C10:D10"/>
    <mergeCell ref="E3:H3"/>
    <mergeCell ref="B7:D7"/>
    <mergeCell ref="E17:H17"/>
    <mergeCell ref="C14:L14"/>
    <mergeCell ref="I17:L17"/>
    <mergeCell ref="K18:L18"/>
    <mergeCell ref="I28:J28"/>
    <mergeCell ref="C21:D21"/>
    <mergeCell ref="C36:D36"/>
    <mergeCell ref="I32:J32"/>
    <mergeCell ref="I29:J29"/>
    <mergeCell ref="I36:J36"/>
    <mergeCell ref="I34:J34"/>
    <mergeCell ref="C34:D34"/>
    <mergeCell ref="C32:D32"/>
    <mergeCell ref="E35:F35"/>
    <mergeCell ref="I30:J30"/>
    <mergeCell ref="I31:J31"/>
    <mergeCell ref="C29:D29"/>
    <mergeCell ref="C31:D31"/>
    <mergeCell ref="C35:D35"/>
  </mergeCells>
  <phoneticPr fontId="1"/>
  <dataValidations count="5">
    <dataValidation type="list" allowBlank="1" showInputMessage="1" showErrorMessage="1" sqref="I27 E23 E7 E27:E34 E21" xr:uid="{00000000-0002-0000-0100-000000000000}">
      <formula1>"　,あり,なし"</formula1>
    </dataValidation>
    <dataValidation type="list" allowBlank="1" showInputMessage="1" showErrorMessage="1" sqref="E36" xr:uid="{6590014E-90E2-4527-A4FC-3DE87A78035A}">
      <formula1>"　,該当,非該当"</formula1>
    </dataValidation>
    <dataValidation type="list" allowBlank="1" showInputMessage="1" showErrorMessage="1" sqref="F29" xr:uid="{73EDA7F3-AE04-451A-B1BD-47A69A3AF987}">
      <formula1>"　,A,B"</formula1>
    </dataValidation>
    <dataValidation type="list" allowBlank="1" showInputMessage="1" showErrorMessage="1" sqref="F32" xr:uid="{75E4CC8E-BDC2-4EB8-A6C3-98518DFF17BC}">
      <formula1>#REF!</formula1>
    </dataValidation>
    <dataValidation type="list" allowBlank="1" showInputMessage="1" showErrorMessage="1" sqref="F31" xr:uid="{5B285A32-87BA-40DC-879D-304E1732F0F9}">
      <formula1>$C$45:$C$58</formula1>
    </dataValidation>
  </dataValidations>
  <pageMargins left="0.92" right="0.56000000000000005" top="0.75" bottom="0.37" header="0.3" footer="0.3"/>
  <pageSetup paperSize="9" scale="68"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C5AAF-F5AD-4556-97D9-E6F4514C1F45}">
  <sheetPr>
    <tabColor rgb="FF92D050"/>
  </sheetPr>
  <dimension ref="A1:L135"/>
  <sheetViews>
    <sheetView view="pageBreakPreview" zoomScaleNormal="100" zoomScaleSheetLayoutView="100" workbookViewId="0">
      <selection activeCell="H46" sqref="H46"/>
    </sheetView>
  </sheetViews>
  <sheetFormatPr defaultColWidth="9" defaultRowHeight="18"/>
  <cols>
    <col min="1" max="1" width="2.8984375" style="11" customWidth="1"/>
    <col min="2" max="2" width="3" style="9" customWidth="1"/>
    <col min="3" max="3" width="14.69921875" style="9" customWidth="1"/>
    <col min="4" max="4" width="28.19921875" style="9" customWidth="1"/>
    <col min="5" max="5" width="10" style="10" customWidth="1"/>
    <col min="6" max="6" width="13.09765625" style="10" customWidth="1"/>
    <col min="7" max="7" width="6.8984375" style="10" hidden="1" customWidth="1"/>
    <col min="8" max="8" width="13.09765625" style="10" customWidth="1"/>
    <col min="9" max="9" width="8.09765625" style="91" customWidth="1"/>
    <col min="10" max="10" width="5.19921875" style="11" bestFit="1" customWidth="1"/>
    <col min="11" max="11" width="6.8984375" style="11" hidden="1" customWidth="1"/>
    <col min="12" max="12" width="13.09765625" style="11" customWidth="1"/>
    <col min="13" max="16384" width="9" style="11"/>
  </cols>
  <sheetData>
    <row r="1" spans="1:9" s="8" customFormat="1" ht="31.5" customHeight="1" thickBot="1">
      <c r="A1" s="5" t="s">
        <v>93</v>
      </c>
      <c r="B1" s="6"/>
      <c r="C1" s="6"/>
      <c r="D1" s="6"/>
      <c r="E1" s="7"/>
      <c r="F1" s="7"/>
      <c r="G1" s="7"/>
      <c r="H1" s="7"/>
      <c r="I1" s="91"/>
    </row>
    <row r="2" spans="1:9" ht="19.5" customHeight="1" thickBot="1">
      <c r="A2" s="9"/>
      <c r="B2" s="398" t="s">
        <v>1</v>
      </c>
      <c r="C2" s="416"/>
      <c r="D2" s="378" t="s">
        <v>94</v>
      </c>
      <c r="E2" s="379"/>
      <c r="F2" s="379"/>
      <c r="G2" s="379"/>
      <c r="H2" s="380"/>
    </row>
    <row r="3" spans="1:9" ht="19.5" customHeight="1">
      <c r="A3" s="9"/>
      <c r="C3" s="12"/>
      <c r="D3" s="12"/>
      <c r="E3" s="12"/>
      <c r="F3" s="12"/>
      <c r="G3" s="12"/>
    </row>
    <row r="4" spans="1:9" ht="19.5" customHeight="1" thickBot="1">
      <c r="A4" s="13" t="s">
        <v>3</v>
      </c>
      <c r="E4" s="12"/>
      <c r="F4" s="12"/>
      <c r="G4" s="12"/>
    </row>
    <row r="5" spans="1:9" ht="33" customHeight="1" thickBot="1">
      <c r="A5" s="13"/>
      <c r="B5" s="376"/>
      <c r="C5" s="377"/>
      <c r="D5" s="377"/>
      <c r="E5" s="126" t="s">
        <v>12</v>
      </c>
      <c r="F5" s="92" t="s">
        <v>13</v>
      </c>
      <c r="G5" s="12"/>
      <c r="H5" s="92" t="s">
        <v>13</v>
      </c>
    </row>
    <row r="6" spans="1:9" ht="37.5" customHeight="1" thickBot="1">
      <c r="A6" s="13"/>
      <c r="B6" s="375" t="s">
        <v>54</v>
      </c>
      <c r="C6" s="368"/>
      <c r="D6" s="368"/>
      <c r="E6" s="188" t="s">
        <v>18</v>
      </c>
      <c r="F6" s="92" t="s">
        <v>55</v>
      </c>
      <c r="G6" s="12"/>
      <c r="H6" s="187" t="str">
        <f>IF(E6="あり","分園分を記入","入力不要")</f>
        <v>分園分を記入</v>
      </c>
    </row>
    <row r="7" spans="1:9" ht="19.5" customHeight="1" thickBot="1">
      <c r="A7" s="13"/>
      <c r="B7" s="375" t="s">
        <v>5</v>
      </c>
      <c r="C7" s="368"/>
      <c r="D7" s="368"/>
      <c r="E7" s="368"/>
      <c r="F7" s="117">
        <f>F8+F9</f>
        <v>150</v>
      </c>
      <c r="G7" s="12"/>
      <c r="H7" s="117">
        <f>H8+H9</f>
        <v>90</v>
      </c>
    </row>
    <row r="8" spans="1:9" ht="19.5" customHeight="1" thickBot="1">
      <c r="A8" s="13"/>
      <c r="B8" s="295"/>
      <c r="C8" s="368" t="s">
        <v>95</v>
      </c>
      <c r="D8" s="368"/>
      <c r="E8" s="368"/>
      <c r="F8" s="1">
        <v>100</v>
      </c>
      <c r="G8" s="12"/>
      <c r="H8" s="1">
        <v>50</v>
      </c>
    </row>
    <row r="9" spans="1:9" ht="19.5" customHeight="1" thickBot="1">
      <c r="A9" s="13"/>
      <c r="B9" s="295"/>
      <c r="C9" s="368" t="s">
        <v>96</v>
      </c>
      <c r="D9" s="368"/>
      <c r="E9" s="368"/>
      <c r="F9" s="1">
        <v>50</v>
      </c>
      <c r="G9" s="12"/>
      <c r="H9" s="1">
        <v>40</v>
      </c>
    </row>
    <row r="10" spans="1:9" ht="19.5" customHeight="1">
      <c r="A10" s="13"/>
      <c r="B10" s="373" t="s">
        <v>56</v>
      </c>
      <c r="C10" s="374"/>
      <c r="D10" s="374"/>
      <c r="E10" s="374"/>
      <c r="F10" s="304">
        <f>F11+F15</f>
        <v>125</v>
      </c>
      <c r="G10" s="12"/>
      <c r="H10" s="304">
        <f>H11+H15</f>
        <v>90</v>
      </c>
    </row>
    <row r="11" spans="1:9" ht="19.5" customHeight="1" thickBot="1">
      <c r="A11" s="13"/>
      <c r="B11" s="93"/>
      <c r="C11" s="15" t="s">
        <v>95</v>
      </c>
      <c r="D11" s="15"/>
      <c r="E11" s="15"/>
      <c r="F11" s="305">
        <f>F12+F13</f>
        <v>75</v>
      </c>
      <c r="G11" s="12"/>
      <c r="H11" s="305">
        <f>H12+H13</f>
        <v>50</v>
      </c>
    </row>
    <row r="12" spans="1:9" ht="19.5" customHeight="1">
      <c r="A12" s="13"/>
      <c r="B12" s="93"/>
      <c r="C12" s="357" t="s">
        <v>97</v>
      </c>
      <c r="D12" s="401"/>
      <c r="E12" s="94"/>
      <c r="F12" s="95">
        <v>40</v>
      </c>
      <c r="G12" s="12"/>
      <c r="H12" s="95">
        <v>30</v>
      </c>
    </row>
    <row r="13" spans="1:9" ht="19.5" customHeight="1">
      <c r="A13" s="13"/>
      <c r="B13" s="93"/>
      <c r="C13" s="357" t="s">
        <v>98</v>
      </c>
      <c r="D13" s="401"/>
      <c r="E13" s="94"/>
      <c r="F13" s="96">
        <v>35</v>
      </c>
      <c r="G13" s="12"/>
      <c r="H13" s="96">
        <v>20</v>
      </c>
    </row>
    <row r="14" spans="1:9" ht="19.5" customHeight="1" thickBot="1">
      <c r="A14" s="13"/>
      <c r="B14" s="93"/>
      <c r="C14" s="296" t="s">
        <v>99</v>
      </c>
      <c r="D14" s="300"/>
      <c r="E14" s="94"/>
      <c r="F14" s="96">
        <v>10</v>
      </c>
      <c r="G14" s="12"/>
      <c r="H14" s="96">
        <v>10</v>
      </c>
    </row>
    <row r="15" spans="1:9" ht="19.5" customHeight="1" thickBot="1">
      <c r="A15" s="13"/>
      <c r="B15" s="93"/>
      <c r="C15" s="15" t="s">
        <v>96</v>
      </c>
      <c r="D15" s="15"/>
      <c r="E15" s="15"/>
      <c r="F15" s="118">
        <f>F16+F17+F18+F19</f>
        <v>50</v>
      </c>
      <c r="G15" s="12"/>
      <c r="H15" s="118">
        <f>H16+H17+H18+H19</f>
        <v>40</v>
      </c>
    </row>
    <row r="16" spans="1:9" ht="19.5" customHeight="1">
      <c r="A16" s="13"/>
      <c r="B16" s="93"/>
      <c r="C16" s="356" t="s">
        <v>97</v>
      </c>
      <c r="D16" s="357"/>
      <c r="E16" s="94"/>
      <c r="F16" s="95">
        <v>20</v>
      </c>
      <c r="G16" s="12"/>
      <c r="H16" s="95">
        <v>20</v>
      </c>
    </row>
    <row r="17" spans="1:12" ht="19.5" customHeight="1">
      <c r="A17" s="13"/>
      <c r="B17" s="93"/>
      <c r="C17" s="356" t="s">
        <v>98</v>
      </c>
      <c r="D17" s="357"/>
      <c r="E17" s="94"/>
      <c r="F17" s="96">
        <v>20</v>
      </c>
      <c r="G17" s="12"/>
      <c r="H17" s="96">
        <v>10</v>
      </c>
    </row>
    <row r="18" spans="1:12" ht="19.5" customHeight="1">
      <c r="A18" s="13"/>
      <c r="B18" s="93"/>
      <c r="C18" s="357" t="s">
        <v>100</v>
      </c>
      <c r="D18" s="401"/>
      <c r="E18" s="94"/>
      <c r="F18" s="96">
        <v>5</v>
      </c>
      <c r="G18" s="12"/>
      <c r="H18" s="96">
        <v>5</v>
      </c>
    </row>
    <row r="19" spans="1:12" ht="19.5" customHeight="1" thickBot="1">
      <c r="A19" s="9"/>
      <c r="B19" s="71"/>
      <c r="C19" s="358" t="s">
        <v>101</v>
      </c>
      <c r="D19" s="359"/>
      <c r="E19" s="97"/>
      <c r="F19" s="98">
        <v>5</v>
      </c>
      <c r="G19" s="12"/>
      <c r="H19" s="98">
        <v>5</v>
      </c>
    </row>
    <row r="20" spans="1:12" ht="32.25" customHeight="1">
      <c r="A20" s="9"/>
      <c r="B20" s="204" t="s">
        <v>10</v>
      </c>
      <c r="C20" s="405" t="s">
        <v>162</v>
      </c>
      <c r="D20" s="405"/>
      <c r="E20" s="405"/>
      <c r="F20" s="405"/>
      <c r="G20" s="405"/>
      <c r="H20" s="405"/>
      <c r="I20" s="405"/>
      <c r="J20" s="405"/>
      <c r="K20" s="405"/>
      <c r="L20" s="405"/>
    </row>
    <row r="21" spans="1:12" ht="19.5" customHeight="1">
      <c r="A21" s="9"/>
      <c r="B21" s="99"/>
      <c r="C21" s="205"/>
      <c r="D21" s="205"/>
      <c r="E21" s="205"/>
      <c r="F21" s="205"/>
      <c r="G21" s="205"/>
      <c r="H21" s="205"/>
    </row>
    <row r="22" spans="1:12" ht="19.5" customHeight="1" thickBot="1">
      <c r="A22" s="13" t="s">
        <v>11</v>
      </c>
      <c r="E22" s="9"/>
      <c r="I22" s="10"/>
    </row>
    <row r="23" spans="1:12" ht="19.5" customHeight="1" thickBot="1">
      <c r="A23" s="13"/>
      <c r="E23" s="417" t="s">
        <v>60</v>
      </c>
      <c r="F23" s="418"/>
      <c r="G23" s="418"/>
      <c r="H23" s="419"/>
      <c r="I23" s="417" t="s">
        <v>102</v>
      </c>
      <c r="J23" s="418"/>
      <c r="K23" s="418"/>
      <c r="L23" s="419"/>
    </row>
    <row r="24" spans="1:12" ht="31.5" customHeight="1">
      <c r="B24" s="17"/>
      <c r="C24" s="100"/>
      <c r="D24" s="100"/>
      <c r="E24" s="198" t="s">
        <v>12</v>
      </c>
      <c r="F24" s="199" t="s">
        <v>13</v>
      </c>
      <c r="G24" s="409" t="s">
        <v>14</v>
      </c>
      <c r="H24" s="420"/>
      <c r="I24" s="200" t="s">
        <v>12</v>
      </c>
      <c r="J24" s="199" t="s">
        <v>13</v>
      </c>
      <c r="K24" s="409" t="s">
        <v>14</v>
      </c>
      <c r="L24" s="420"/>
    </row>
    <row r="25" spans="1:12" ht="17.25" customHeight="1">
      <c r="B25" s="214" t="s">
        <v>15</v>
      </c>
      <c r="C25" s="65" t="s">
        <v>16</v>
      </c>
      <c r="D25" s="65"/>
      <c r="E25" s="193"/>
      <c r="F25" s="22"/>
      <c r="G25" s="124"/>
      <c r="H25" s="286">
        <f>H31*1.1+H38*1.3</f>
        <v>14</v>
      </c>
      <c r="I25" s="21"/>
      <c r="J25" s="22"/>
      <c r="K25" s="48"/>
      <c r="L25" s="286">
        <f>L38*1.3</f>
        <v>5.2</v>
      </c>
    </row>
    <row r="26" spans="1:12" ht="17.25" customHeight="1">
      <c r="B26" s="413" t="s">
        <v>95</v>
      </c>
      <c r="C26" s="313" t="s">
        <v>61</v>
      </c>
      <c r="D26" s="331"/>
      <c r="E26" s="194"/>
      <c r="F26" s="119">
        <f>IF($E$6="あり",F12+H12,F12)</f>
        <v>70</v>
      </c>
      <c r="G26" s="78">
        <f>IF($E$27="あり",0,ROUNDDOWN(F26*1/30,1))</f>
        <v>0</v>
      </c>
      <c r="H26" s="287" t="str">
        <f>IF(G26=0,"-",ROUNDDOWN(G26,1))</f>
        <v>-</v>
      </c>
      <c r="I26" s="421" t="str">
        <f>IF($E$6="あり","本園と合算","－")</f>
        <v>本園と合算</v>
      </c>
      <c r="J26" s="422"/>
      <c r="K26" s="302"/>
      <c r="L26" s="301"/>
    </row>
    <row r="27" spans="1:12" ht="17.25" customHeight="1">
      <c r="B27" s="414"/>
      <c r="C27" s="353" t="s">
        <v>160</v>
      </c>
      <c r="D27" s="191"/>
      <c r="E27" s="354" t="s">
        <v>18</v>
      </c>
      <c r="F27" s="355">
        <f>IF($E$6="あり",F12+H12,F12)</f>
        <v>70</v>
      </c>
      <c r="G27" s="78">
        <f>IF(F8+H8=0,0,IF(E27="あり",ROUNDDOWN(F27*1/25,1),0))</f>
        <v>2.8</v>
      </c>
      <c r="H27" s="280">
        <f>IF(G27=0,"-",ROUNDDOWN(G27,1))</f>
        <v>2.8</v>
      </c>
      <c r="I27" s="411" t="str">
        <f>IF($E$6="あり","本園と合算","－")</f>
        <v>本園と合算</v>
      </c>
      <c r="J27" s="412"/>
      <c r="K27" s="76"/>
      <c r="L27" s="77"/>
    </row>
    <row r="28" spans="1:12" ht="17.25" customHeight="1">
      <c r="B28" s="414"/>
      <c r="C28" s="303" t="s">
        <v>103</v>
      </c>
      <c r="D28" s="332"/>
      <c r="E28" s="195"/>
      <c r="F28" s="120">
        <f>IF($E$6="あり",F13+H13,F13)</f>
        <v>55</v>
      </c>
      <c r="G28" s="49">
        <f>IF($E$29="あり",0,IF(E30="あり",0,ROUNDDOWN(F28*1/20,1)))</f>
        <v>0</v>
      </c>
      <c r="H28" s="281" t="str">
        <f>IF(G28=0,"-",ROUNDDOWN(G28,1))</f>
        <v>-</v>
      </c>
      <c r="I28" s="423" t="str">
        <f>IF($E$6="あり","本園と合算","－")</f>
        <v>本園と合算</v>
      </c>
      <c r="J28" s="424"/>
      <c r="K28" s="123"/>
      <c r="L28" s="311"/>
    </row>
    <row r="29" spans="1:12" ht="17.25" customHeight="1">
      <c r="B29" s="414"/>
      <c r="C29" s="353" t="s">
        <v>104</v>
      </c>
      <c r="D29" s="352"/>
      <c r="E29" s="354" t="s">
        <v>18</v>
      </c>
      <c r="F29" s="355">
        <f>IF($E$6="あり",F13+H13,F13)</f>
        <v>55</v>
      </c>
      <c r="G29" s="78">
        <f>IF(F8+H8=0,0,IF($E$29="あり",IF(E30="あり",ROUNDDOWN(($F$29-F30)*1/15,1)+ROUNDDOWN(F30*1/6,1),ROUNDDOWN(F29*1/15,1)),IF(E30="あり",ROUNDDOWN((F29-F30)*1/20,1)+ROUNDDOWN(F30*1/6,1),0)))</f>
        <v>5.6</v>
      </c>
      <c r="H29" s="280">
        <f>IF(G29=0,"-",ROUNDDOWN(G29,1))</f>
        <v>5.6</v>
      </c>
      <c r="I29" s="426" t="str">
        <f>IF($E$6="あり","本園と合算","－")</f>
        <v>本園と合算</v>
      </c>
      <c r="J29" s="427"/>
      <c r="K29" s="76"/>
      <c r="L29" s="77"/>
    </row>
    <row r="30" spans="1:12" ht="17.25" customHeight="1" thickBot="1">
      <c r="B30" s="414"/>
      <c r="C30" s="325" t="s">
        <v>105</v>
      </c>
      <c r="D30" s="333"/>
      <c r="E30" s="326" t="s">
        <v>18</v>
      </c>
      <c r="F30" s="330">
        <f>IF($E$6="あり",F14+H14,F14)</f>
        <v>20</v>
      </c>
      <c r="G30" s="327"/>
      <c r="H30" s="328"/>
      <c r="I30" s="432" t="str">
        <f>IF($E$6="あり","本園と合算","－")</f>
        <v>本園と合算</v>
      </c>
      <c r="J30" s="433"/>
      <c r="K30" s="327"/>
      <c r="L30" s="328"/>
    </row>
    <row r="31" spans="1:12" ht="17.25" customHeight="1" thickTop="1">
      <c r="B31" s="415"/>
      <c r="C31" s="335" t="s">
        <v>65</v>
      </c>
      <c r="D31" s="334"/>
      <c r="E31" s="322"/>
      <c r="F31" s="28"/>
      <c r="G31" s="51"/>
      <c r="H31" s="283">
        <f>ROUND(SUM(H26:H29),0)</f>
        <v>8</v>
      </c>
      <c r="I31" s="201"/>
      <c r="J31" s="28"/>
      <c r="K31" s="51"/>
      <c r="L31" s="336"/>
    </row>
    <row r="32" spans="1:12" ht="17.25" customHeight="1">
      <c r="B32" s="413" t="s">
        <v>96</v>
      </c>
      <c r="C32" s="313" t="s">
        <v>61</v>
      </c>
      <c r="D32" s="297"/>
      <c r="E32" s="194"/>
      <c r="F32" s="119">
        <f>F16</f>
        <v>20</v>
      </c>
      <c r="G32" s="49">
        <f>IF($E$36="あり",0,ROUNDDOWN(F32*1/30,1))</f>
        <v>0.6</v>
      </c>
      <c r="H32" s="281">
        <f>IF(G32=0,"-",ROUNDDOWN(G32,1))</f>
        <v>0.6</v>
      </c>
      <c r="I32" s="101"/>
      <c r="J32" s="312">
        <f>IF(E6="あり",H16,0)</f>
        <v>20</v>
      </c>
      <c r="K32" s="49">
        <f>IF($E$36="あり",0,ROUNDDOWN(J32*1/30,1))</f>
        <v>0.6</v>
      </c>
      <c r="L32" s="281">
        <f>IF(K32=0,"-",ROUNDDOWN(K32,1))</f>
        <v>0.6</v>
      </c>
    </row>
    <row r="33" spans="2:12" ht="17.25" customHeight="1">
      <c r="B33" s="414"/>
      <c r="C33" s="303" t="s">
        <v>62</v>
      </c>
      <c r="D33" s="94"/>
      <c r="E33" s="195"/>
      <c r="F33" s="120">
        <f>F17</f>
        <v>20</v>
      </c>
      <c r="G33" s="49">
        <f>IF($E$37="あり",0,ROUNDDOWN(F33*1/20,1))</f>
        <v>1</v>
      </c>
      <c r="H33" s="281">
        <f>IF(G33=0,"-",ROUNDDOWN(G33,1))</f>
        <v>1</v>
      </c>
      <c r="I33" s="102"/>
      <c r="J33" s="120">
        <f>IF(E$6="あり",H17,0)</f>
        <v>10</v>
      </c>
      <c r="K33" s="49">
        <f>IF($E$37="あり",0,ROUNDDOWN(J33*1/20,1))</f>
        <v>0.5</v>
      </c>
      <c r="L33" s="281">
        <f>IF(K33=0,"-",ROUNDDOWN(K33,1))</f>
        <v>0.5</v>
      </c>
    </row>
    <row r="34" spans="2:12" ht="17.25" customHeight="1">
      <c r="B34" s="414"/>
      <c r="C34" s="314" t="s">
        <v>58</v>
      </c>
      <c r="D34" s="191"/>
      <c r="E34" s="181"/>
      <c r="F34" s="121">
        <f>F18</f>
        <v>5</v>
      </c>
      <c r="G34" s="78">
        <f>F34*1/6</f>
        <v>0.83333333333333337</v>
      </c>
      <c r="H34" s="280">
        <f>ROUNDDOWN(G34,1)</f>
        <v>0.8</v>
      </c>
      <c r="I34" s="181"/>
      <c r="J34" s="120">
        <f>IF(E$6="あり",H18,0)</f>
        <v>5</v>
      </c>
      <c r="K34" s="78">
        <f>J34*1/6</f>
        <v>0.83333333333333337</v>
      </c>
      <c r="L34" s="280">
        <f>ROUNDDOWN(K34,1)</f>
        <v>0.8</v>
      </c>
    </row>
    <row r="35" spans="2:12" ht="17.25" customHeight="1">
      <c r="B35" s="414"/>
      <c r="C35" s="315" t="s">
        <v>59</v>
      </c>
      <c r="D35" s="316"/>
      <c r="E35" s="317"/>
      <c r="F35" s="318">
        <f>F19</f>
        <v>5</v>
      </c>
      <c r="G35" s="319">
        <f>F35*1/3</f>
        <v>1.6666666666666667</v>
      </c>
      <c r="H35" s="320">
        <f>ROUNDDOWN(G35,1)</f>
        <v>1.6</v>
      </c>
      <c r="I35" s="317"/>
      <c r="J35" s="321">
        <f>IF(E$6="あり",H19,0)</f>
        <v>5</v>
      </c>
      <c r="K35" s="319">
        <f>J35*1/3</f>
        <v>1.6666666666666667</v>
      </c>
      <c r="L35" s="320">
        <f>ROUNDDOWN(K35,1)</f>
        <v>1.6</v>
      </c>
    </row>
    <row r="36" spans="2:12" ht="17.25" customHeight="1">
      <c r="B36" s="414"/>
      <c r="C36" s="323" t="s">
        <v>160</v>
      </c>
      <c r="D36" s="297"/>
      <c r="E36" s="324" t="s">
        <v>106</v>
      </c>
      <c r="F36" s="329">
        <f>IF($E$6="あり",F16+H16,F16)</f>
        <v>40</v>
      </c>
      <c r="G36" s="73">
        <f>IF($E$36="あり",ROUNDDOWN($F$36*1/25,1),0)</f>
        <v>0</v>
      </c>
      <c r="H36" s="287" t="str">
        <f>IF(G36=0,"-",ROUNDDOWN(G36,1))</f>
        <v>-</v>
      </c>
      <c r="I36" s="421" t="str">
        <f>IF($E$6="あり","本園と合算","－")</f>
        <v>本園と合算</v>
      </c>
      <c r="J36" s="422"/>
      <c r="K36" s="302"/>
      <c r="L36" s="301"/>
    </row>
    <row r="37" spans="2:12" ht="17.25" customHeight="1" thickBot="1">
      <c r="B37" s="414"/>
      <c r="C37" s="345" t="s">
        <v>104</v>
      </c>
      <c r="D37" s="346"/>
      <c r="E37" s="347" t="s">
        <v>106</v>
      </c>
      <c r="F37" s="348">
        <f>IF($E$6="あり",F17+H17,F17)</f>
        <v>30</v>
      </c>
      <c r="G37" s="349">
        <f>IF($E$37="あり",ROUNDDOWN($F$37*1/15,1),0)</f>
        <v>0</v>
      </c>
      <c r="H37" s="288" t="str">
        <f>IF(G37=0,"-",ROUNDDOWN(G37,1))</f>
        <v>-</v>
      </c>
      <c r="I37" s="428" t="str">
        <f>IF($E$6="あり","本園と合算","－")</f>
        <v>本園と合算</v>
      </c>
      <c r="J37" s="429"/>
      <c r="K37" s="350"/>
      <c r="L37" s="351"/>
    </row>
    <row r="38" spans="2:12" ht="17.25" customHeight="1" thickTop="1">
      <c r="B38" s="415"/>
      <c r="C38" s="335" t="s">
        <v>65</v>
      </c>
      <c r="D38" s="105"/>
      <c r="E38" s="322"/>
      <c r="F38" s="28"/>
      <c r="G38" s="51"/>
      <c r="H38" s="283">
        <f>ROUND(SUM(H32:H37),0)</f>
        <v>4</v>
      </c>
      <c r="I38" s="201"/>
      <c r="J38" s="28"/>
      <c r="K38" s="51"/>
      <c r="L38" s="283">
        <f>ROUND(SUM(L32:L35),0)</f>
        <v>4</v>
      </c>
    </row>
    <row r="39" spans="2:12" ht="17.25" customHeight="1">
      <c r="B39" s="31" t="s">
        <v>107</v>
      </c>
      <c r="C39" s="107" t="s">
        <v>108</v>
      </c>
      <c r="D39" s="107"/>
      <c r="E39" s="196"/>
      <c r="F39" s="30"/>
      <c r="G39" s="52"/>
      <c r="H39" s="53">
        <f>IF(F9&lt;=90,1.3,0.9)</f>
        <v>1.3</v>
      </c>
      <c r="I39" s="106"/>
      <c r="J39" s="30"/>
      <c r="K39" s="52"/>
      <c r="L39" s="53">
        <f>IF(E6="あり",IF(H9&lt;=90,1.3,0.9),0)</f>
        <v>1.3</v>
      </c>
    </row>
    <row r="40" spans="2:12" ht="17.25" customHeight="1">
      <c r="B40" s="31" t="s">
        <v>23</v>
      </c>
      <c r="C40" s="107" t="s">
        <v>109</v>
      </c>
      <c r="D40" s="107"/>
      <c r="E40" s="196"/>
      <c r="F40" s="30"/>
      <c r="G40" s="52"/>
      <c r="H40" s="53">
        <f>IF(F9&lt;=40,1.3,(IF(F9&lt;=150,2.6,3.8)))</f>
        <v>2.6</v>
      </c>
      <c r="I40" s="106"/>
      <c r="J40" s="30"/>
      <c r="K40" s="52"/>
      <c r="L40" s="53">
        <f>IF(E6="あり",IF(H9&lt;=40,1.3,(IF(H9&lt;=150,2.6,3.8))),0)</f>
        <v>1.3</v>
      </c>
    </row>
    <row r="41" spans="2:12" ht="17.25" customHeight="1">
      <c r="B41" s="31" t="s">
        <v>110</v>
      </c>
      <c r="C41" s="107" t="s">
        <v>66</v>
      </c>
      <c r="D41" s="107"/>
      <c r="E41" s="186" t="s">
        <v>18</v>
      </c>
      <c r="F41" s="30"/>
      <c r="G41" s="52"/>
      <c r="H41" s="53">
        <f>IF(E41="あり",1.7,0)</f>
        <v>1.7</v>
      </c>
      <c r="I41" s="197" t="s">
        <v>18</v>
      </c>
      <c r="J41" s="206"/>
      <c r="K41" s="52"/>
      <c r="L41" s="53">
        <f>IF(E6="あり",IF(I41="あり",1.7,0),0)</f>
        <v>1.7</v>
      </c>
    </row>
    <row r="42" spans="2:12" ht="17.25" customHeight="1">
      <c r="B42" s="31" t="s">
        <v>111</v>
      </c>
      <c r="C42" s="107" t="s">
        <v>112</v>
      </c>
      <c r="D42" s="107"/>
      <c r="E42" s="208" t="s">
        <v>18</v>
      </c>
      <c r="F42" s="108"/>
      <c r="G42" s="52"/>
      <c r="H42" s="53">
        <f>IF(E42="あり",1.1,0)</f>
        <v>1.1000000000000001</v>
      </c>
      <c r="I42" s="396" t="str">
        <f>IF($E$6="あり","本園分で選択","－")</f>
        <v>本園分で選択</v>
      </c>
      <c r="J42" s="397"/>
      <c r="K42" s="52"/>
      <c r="L42" s="202"/>
    </row>
    <row r="43" spans="2:12" ht="17.25" customHeight="1" thickBot="1">
      <c r="B43" s="31" t="s">
        <v>113</v>
      </c>
      <c r="C43" s="107" t="s">
        <v>22</v>
      </c>
      <c r="D43" s="107"/>
      <c r="E43" s="186" t="s">
        <v>18</v>
      </c>
      <c r="F43" s="207"/>
      <c r="G43" s="52"/>
      <c r="H43" s="53">
        <f>IF(E43="あり",0.7,0)</f>
        <v>0.7</v>
      </c>
      <c r="I43" s="396" t="str">
        <f>IF($E$6="あり","本園分で選択","－")</f>
        <v>本園分で選択</v>
      </c>
      <c r="J43" s="397"/>
      <c r="K43" s="52"/>
      <c r="L43" s="202"/>
    </row>
    <row r="44" spans="2:12" ht="17.25" customHeight="1" thickBot="1">
      <c r="B44" s="31" t="s">
        <v>32</v>
      </c>
      <c r="C44" s="107" t="s">
        <v>24</v>
      </c>
      <c r="D44" s="107"/>
      <c r="E44" s="209" t="s">
        <v>18</v>
      </c>
      <c r="F44" s="1">
        <v>3</v>
      </c>
      <c r="G44" s="52"/>
      <c r="H44" s="53">
        <f>IF(E44="あり",F44*1.1,0)</f>
        <v>3.3000000000000003</v>
      </c>
      <c r="I44" s="396" t="str">
        <f t="shared" ref="I44:I55" si="0">IF($E$6="あり","本園分で選択","－")</f>
        <v>本園分で選択</v>
      </c>
      <c r="J44" s="397"/>
      <c r="K44" s="52"/>
      <c r="L44" s="202"/>
    </row>
    <row r="45" spans="2:12" ht="17.25" customHeight="1" thickBot="1">
      <c r="B45" s="31" t="s">
        <v>35</v>
      </c>
      <c r="C45" s="107" t="s">
        <v>26</v>
      </c>
      <c r="D45" s="107"/>
      <c r="E45" s="186" t="s">
        <v>18</v>
      </c>
      <c r="F45" s="207"/>
      <c r="G45" s="52"/>
      <c r="H45" s="276">
        <f>IF(F8+H8=0,0,IF(E45="あり",IF(IF(E6="あり",F8+H8,F8)&lt;=150,0.7,1.3),0))</f>
        <v>0.7</v>
      </c>
      <c r="I45" s="396" t="str">
        <f t="shared" si="0"/>
        <v>本園分で選択</v>
      </c>
      <c r="J45" s="397"/>
      <c r="K45" s="52"/>
      <c r="L45" s="202"/>
    </row>
    <row r="46" spans="2:12" ht="17.25" customHeight="1" thickBot="1">
      <c r="B46" s="214" t="s">
        <v>37</v>
      </c>
      <c r="C46" s="215" t="s">
        <v>28</v>
      </c>
      <c r="D46" s="222"/>
      <c r="E46" s="84" t="s">
        <v>18</v>
      </c>
      <c r="F46" s="1" t="s">
        <v>29</v>
      </c>
      <c r="G46" s="225"/>
      <c r="H46" s="286">
        <f>IF(F8+H8=0,0,IF(E46="あり",IF(F46="自園調理",IF(IF(E6="あり",F8+H8,F8)&gt;=151,2.7,1.8),IF(F46="外部搬入",IF(IF(E6="あり",F8+H8,F8)&gt;=151,0.5,0.3),0)),0))</f>
        <v>1.8</v>
      </c>
      <c r="I46" s="430" t="str">
        <f t="shared" si="0"/>
        <v>本園分で選択</v>
      </c>
      <c r="J46" s="431"/>
      <c r="K46" s="225"/>
      <c r="L46" s="257"/>
    </row>
    <row r="47" spans="2:12" ht="37.5" customHeight="1" thickBot="1">
      <c r="B47" s="31" t="s">
        <v>114</v>
      </c>
      <c r="C47" s="368" t="s">
        <v>69</v>
      </c>
      <c r="D47" s="393"/>
      <c r="E47" s="186" t="s">
        <v>18</v>
      </c>
      <c r="F47" s="244" t="s">
        <v>85</v>
      </c>
      <c r="G47" s="227">
        <f>VLOOKUP(F47,$C$67:$D$80,2,FALSE)</f>
        <v>0.9</v>
      </c>
      <c r="H47" s="53">
        <f>IF(E47="あり",G47,0)</f>
        <v>0.9</v>
      </c>
      <c r="I47" s="394" t="str">
        <f t="shared" si="0"/>
        <v>本園分で選択</v>
      </c>
      <c r="J47" s="395"/>
      <c r="K47" s="52"/>
      <c r="L47" s="202"/>
    </row>
    <row r="48" spans="2:12" ht="17.25" customHeight="1" thickBot="1">
      <c r="B48" s="31" t="s">
        <v>41</v>
      </c>
      <c r="C48" s="368" t="s">
        <v>115</v>
      </c>
      <c r="D48" s="393"/>
      <c r="E48" s="186" t="s">
        <v>18</v>
      </c>
      <c r="F48" s="259"/>
      <c r="G48" s="245"/>
      <c r="H48" s="53">
        <f>IF(E48="あり",2.7,0)</f>
        <v>2.7</v>
      </c>
      <c r="I48" s="394" t="str">
        <f t="shared" si="0"/>
        <v>本園分で選択</v>
      </c>
      <c r="J48" s="395"/>
      <c r="K48" s="52"/>
      <c r="L48" s="202"/>
    </row>
    <row r="49" spans="1:12" ht="19.5" customHeight="1" thickBot="1">
      <c r="B49" s="237" t="s">
        <v>116</v>
      </c>
      <c r="C49" s="368" t="s">
        <v>33</v>
      </c>
      <c r="D49" s="393"/>
      <c r="E49" s="258" t="s">
        <v>18</v>
      </c>
      <c r="F49" s="260" t="s">
        <v>34</v>
      </c>
      <c r="G49" s="52"/>
      <c r="H49" s="53">
        <f>IF(E49="あり",IF(F49="A",0.4,IF(F49="B",0.3,0)),0)</f>
        <v>0.4</v>
      </c>
      <c r="I49" s="394" t="str">
        <f t="shared" si="0"/>
        <v>本園分で選択</v>
      </c>
      <c r="J49" s="395"/>
      <c r="K49" s="172"/>
      <c r="L49" s="173"/>
    </row>
    <row r="50" spans="1:12" ht="17.25" customHeight="1">
      <c r="B50" s="31" t="s">
        <v>43</v>
      </c>
      <c r="C50" s="107" t="s">
        <v>36</v>
      </c>
      <c r="D50" s="107"/>
      <c r="E50" s="186" t="s">
        <v>18</v>
      </c>
      <c r="F50" s="110"/>
      <c r="G50" s="52"/>
      <c r="H50" s="53">
        <f>IF(E50="あり",0.7,0)</f>
        <v>0.7</v>
      </c>
      <c r="I50" s="396" t="str">
        <f t="shared" si="0"/>
        <v>本園分で選択</v>
      </c>
      <c r="J50" s="397"/>
      <c r="K50" s="52"/>
      <c r="L50" s="202"/>
    </row>
    <row r="51" spans="1:12" ht="17.25" customHeight="1">
      <c r="B51" s="31" t="s">
        <v>117</v>
      </c>
      <c r="C51" s="107" t="s">
        <v>38</v>
      </c>
      <c r="D51" s="107"/>
      <c r="E51" s="186" t="s">
        <v>18</v>
      </c>
      <c r="F51" s="30"/>
      <c r="G51" s="52"/>
      <c r="H51" s="53">
        <f>IF(E51="あり",0.6,0)</f>
        <v>0.6</v>
      </c>
      <c r="I51" s="396" t="str">
        <f t="shared" si="0"/>
        <v>本園分で選択</v>
      </c>
      <c r="J51" s="397"/>
      <c r="K51" s="52"/>
      <c r="L51" s="202"/>
    </row>
    <row r="52" spans="1:12" ht="17.25" customHeight="1">
      <c r="B52" s="31" t="s">
        <v>118</v>
      </c>
      <c r="C52" s="107" t="s">
        <v>40</v>
      </c>
      <c r="D52" s="107"/>
      <c r="E52" s="186" t="s">
        <v>18</v>
      </c>
      <c r="F52" s="30"/>
      <c r="G52" s="52"/>
      <c r="H52" s="53">
        <f>IF(E52="あり",0.6,0)</f>
        <v>0.6</v>
      </c>
      <c r="I52" s="396" t="str">
        <f t="shared" si="0"/>
        <v>本園分で選択</v>
      </c>
      <c r="J52" s="397"/>
      <c r="K52" s="52"/>
      <c r="L52" s="202"/>
    </row>
    <row r="53" spans="1:12" ht="17.25" customHeight="1" thickBot="1">
      <c r="B53" s="31" t="s">
        <v>119</v>
      </c>
      <c r="C53" s="368" t="s">
        <v>42</v>
      </c>
      <c r="D53" s="393"/>
      <c r="E53" s="186" t="s">
        <v>18</v>
      </c>
      <c r="F53" s="108"/>
      <c r="G53" s="52"/>
      <c r="H53" s="53">
        <f>IF(E53="あり",0.6,0)</f>
        <v>0.6</v>
      </c>
      <c r="I53" s="298"/>
      <c r="J53" s="299"/>
      <c r="K53" s="52"/>
      <c r="L53" s="202"/>
    </row>
    <row r="54" spans="1:12" ht="44.25" customHeight="1" thickBot="1">
      <c r="B54" s="31" t="s">
        <v>120</v>
      </c>
      <c r="C54" s="425" t="s">
        <v>121</v>
      </c>
      <c r="D54" s="425"/>
      <c r="E54" s="197" t="s">
        <v>75</v>
      </c>
      <c r="F54" s="337" t="s">
        <v>122</v>
      </c>
      <c r="G54" s="124"/>
      <c r="H54" s="54">
        <f>IF(E54="該当",IF(F54="１号",-0.8,IF(F54="２・３号",-0.6,-1.4)),0)</f>
        <v>-1.4</v>
      </c>
      <c r="I54" s="396" t="str">
        <f t="shared" si="0"/>
        <v>本園分で選択</v>
      </c>
      <c r="J54" s="397"/>
      <c r="K54" s="124"/>
      <c r="L54" s="203"/>
    </row>
    <row r="55" spans="1:12" ht="24" customHeight="1" thickBot="1">
      <c r="B55" s="66" t="s">
        <v>123</v>
      </c>
      <c r="C55" s="65" t="s">
        <v>124</v>
      </c>
      <c r="D55" s="339"/>
      <c r="E55" s="338" t="s">
        <v>75</v>
      </c>
      <c r="F55" s="111">
        <v>2</v>
      </c>
      <c r="G55" s="124"/>
      <c r="H55" s="54">
        <f>IF(E55="該当",-F55*1.2,0)</f>
        <v>-2.4</v>
      </c>
      <c r="I55" s="426" t="str">
        <f t="shared" si="0"/>
        <v>本園分で選択</v>
      </c>
      <c r="J55" s="427"/>
      <c r="K55" s="124"/>
      <c r="L55" s="203"/>
    </row>
    <row r="56" spans="1:12" ht="24" customHeight="1">
      <c r="B56" s="214" t="s">
        <v>125</v>
      </c>
      <c r="C56" s="368" t="s">
        <v>126</v>
      </c>
      <c r="D56" s="393"/>
      <c r="E56" s="197" t="s">
        <v>75</v>
      </c>
      <c r="F56" s="248"/>
      <c r="G56" s="48"/>
      <c r="H56" s="264">
        <f>IF(E56="該当",-1.2,0)</f>
        <v>-1.2</v>
      </c>
      <c r="I56" s="267"/>
      <c r="J56" s="268"/>
      <c r="K56" s="266"/>
      <c r="L56" s="247"/>
    </row>
    <row r="57" spans="1:12" ht="24" customHeight="1">
      <c r="B57" s="214" t="s">
        <v>127</v>
      </c>
      <c r="C57" s="368" t="s">
        <v>73</v>
      </c>
      <c r="D57" s="393"/>
      <c r="E57" s="396" t="str">
        <f>IF($E$6="あり","分園がある場合に適用","－")</f>
        <v>分園がある場合に適用</v>
      </c>
      <c r="F57" s="397"/>
      <c r="G57" s="250"/>
      <c r="H57" s="265"/>
      <c r="I57" s="267"/>
      <c r="J57" s="268"/>
      <c r="K57" s="265"/>
      <c r="L57" s="246">
        <f>IF(E6="あり",IF(H9&lt;=40,-1.3,IF(H9&gt;=151,-3.8,-2.6)),0)</f>
        <v>-1.3</v>
      </c>
    </row>
    <row r="58" spans="1:12" ht="24" customHeight="1">
      <c r="B58" s="308" t="s">
        <v>128</v>
      </c>
      <c r="C58" s="107"/>
      <c r="D58" s="107"/>
      <c r="E58" s="221"/>
      <c r="F58" s="30"/>
      <c r="G58" s="309">
        <f>IF(E6="あり",F8+H8,F8)</f>
        <v>150</v>
      </c>
      <c r="H58" s="53">
        <f>IF(G58=0,0,IF(G58&lt;=90,2,2.7))</f>
        <v>2.7</v>
      </c>
      <c r="I58" s="394" t="str">
        <f>IF($E$6="あり","本園と合算","－")</f>
        <v>本園と合算</v>
      </c>
      <c r="J58" s="395"/>
      <c r="K58" s="310"/>
      <c r="L58" s="202"/>
    </row>
    <row r="59" spans="1:12" ht="24" customHeight="1" thickBot="1">
      <c r="B59" s="131" t="s">
        <v>129</v>
      </c>
      <c r="C59" s="132"/>
      <c r="D59" s="132"/>
      <c r="E59" s="306"/>
      <c r="F59" s="112"/>
      <c r="G59" s="307">
        <f>F9</f>
        <v>50</v>
      </c>
      <c r="H59" s="139">
        <f>IF(G59&lt;=30,2.8,2.4)</f>
        <v>2.4</v>
      </c>
      <c r="I59" s="249"/>
      <c r="J59" s="112"/>
      <c r="K59" s="307">
        <f>IF(E6="あり",H9,0)</f>
        <v>40</v>
      </c>
      <c r="L59" s="139">
        <f>IF(E6="あり",IF(K59&lt;=30,2.8,2.4),0)</f>
        <v>2.4</v>
      </c>
    </row>
    <row r="60" spans="1:12" ht="24" customHeight="1" thickTop="1" thickBot="1">
      <c r="B60" s="36" t="s">
        <v>47</v>
      </c>
      <c r="E60" s="182"/>
      <c r="F60" s="37"/>
      <c r="G60" s="57"/>
      <c r="H60" s="58">
        <f>SUM(H39:H59,H25)</f>
        <v>33.800000000000004</v>
      </c>
      <c r="I60" s="9"/>
      <c r="J60" s="37"/>
      <c r="K60" s="57"/>
      <c r="L60" s="58">
        <f>SUM(L39:L59,L25)</f>
        <v>10.600000000000001</v>
      </c>
    </row>
    <row r="61" spans="1:12" ht="24" customHeight="1" thickBot="1">
      <c r="B61" s="38" t="s">
        <v>48</v>
      </c>
      <c r="C61" s="39"/>
      <c r="D61" s="39"/>
      <c r="E61" s="156"/>
      <c r="F61" s="40"/>
      <c r="G61" s="59"/>
      <c r="H61" s="140">
        <f>ROUND(H60,0)</f>
        <v>34</v>
      </c>
      <c r="I61" s="39"/>
      <c r="J61" s="40"/>
      <c r="K61" s="59"/>
      <c r="L61" s="140">
        <f>IF($E$6="あり",ROUND(L60,0),0)</f>
        <v>11</v>
      </c>
    </row>
    <row r="62" spans="1:12" ht="21.75" customHeight="1">
      <c r="E62" s="9"/>
      <c r="H62" s="43"/>
    </row>
    <row r="63" spans="1:12" ht="21.75" customHeight="1" thickBot="1">
      <c r="A63" s="13" t="s">
        <v>49</v>
      </c>
      <c r="E63" s="9"/>
    </row>
    <row r="64" spans="1:12" ht="21.75" customHeight="1" thickBot="1">
      <c r="B64" s="114"/>
      <c r="C64" s="46">
        <v>11320</v>
      </c>
      <c r="D64" s="46" t="s">
        <v>78</v>
      </c>
      <c r="E64" s="46"/>
      <c r="F64" s="115"/>
      <c r="G64" s="116"/>
      <c r="H64" s="64">
        <f>C64*(H61+L61)</f>
        <v>509400</v>
      </c>
    </row>
    <row r="65" spans="1:12" ht="33.75" customHeight="1"/>
    <row r="66" spans="1:12" hidden="1">
      <c r="C66" s="9" t="s">
        <v>79</v>
      </c>
    </row>
    <row r="67" spans="1:12" hidden="1">
      <c r="C67" s="9" t="s">
        <v>70</v>
      </c>
      <c r="D67" s="9">
        <v>0.5</v>
      </c>
    </row>
    <row r="68" spans="1:12" hidden="1">
      <c r="C68" s="9" t="s">
        <v>80</v>
      </c>
      <c r="D68" s="9">
        <v>0.5</v>
      </c>
    </row>
    <row r="69" spans="1:12" hidden="1">
      <c r="C69" s="9" t="s">
        <v>81</v>
      </c>
      <c r="D69" s="9">
        <v>0.6</v>
      </c>
    </row>
    <row r="70" spans="1:12" hidden="1">
      <c r="C70" s="9" t="s">
        <v>82</v>
      </c>
      <c r="D70" s="9">
        <v>0.7</v>
      </c>
    </row>
    <row r="71" spans="1:12" hidden="1">
      <c r="C71" s="9" t="s">
        <v>83</v>
      </c>
      <c r="D71" s="9">
        <v>0.8</v>
      </c>
    </row>
    <row r="72" spans="1:12" hidden="1">
      <c r="C72" s="9" t="s">
        <v>84</v>
      </c>
      <c r="D72" s="9">
        <v>0.8</v>
      </c>
    </row>
    <row r="73" spans="1:12" hidden="1">
      <c r="C73" s="9" t="s">
        <v>85</v>
      </c>
      <c r="D73" s="9">
        <v>0.9</v>
      </c>
    </row>
    <row r="74" spans="1:12" hidden="1">
      <c r="C74" s="9" t="s">
        <v>86</v>
      </c>
      <c r="D74" s="9">
        <v>1</v>
      </c>
    </row>
    <row r="75" spans="1:12" hidden="1">
      <c r="C75" s="9" t="s">
        <v>87</v>
      </c>
      <c r="D75" s="9">
        <v>1.1000000000000001</v>
      </c>
    </row>
    <row r="76" spans="1:12" s="10" customFormat="1" hidden="1">
      <c r="A76" s="11"/>
      <c r="B76" s="9"/>
      <c r="C76" s="9" t="s">
        <v>88</v>
      </c>
      <c r="D76" s="9">
        <v>1.1000000000000001</v>
      </c>
      <c r="I76" s="91"/>
      <c r="J76" s="11"/>
      <c r="K76" s="11"/>
      <c r="L76" s="11"/>
    </row>
    <row r="77" spans="1:12" s="10" customFormat="1" hidden="1">
      <c r="A77" s="11"/>
      <c r="B77" s="9"/>
      <c r="C77" s="9" t="s">
        <v>89</v>
      </c>
      <c r="D77" s="9">
        <v>1.2</v>
      </c>
      <c r="I77" s="91"/>
      <c r="J77" s="11"/>
      <c r="K77" s="11"/>
      <c r="L77" s="11"/>
    </row>
    <row r="78" spans="1:12" s="10" customFormat="1" hidden="1">
      <c r="A78" s="11"/>
      <c r="B78" s="9"/>
      <c r="C78" s="9" t="s">
        <v>90</v>
      </c>
      <c r="D78" s="9">
        <v>1.3</v>
      </c>
      <c r="I78" s="91"/>
      <c r="J78" s="11"/>
      <c r="K78" s="11"/>
      <c r="L78" s="11"/>
    </row>
    <row r="79" spans="1:12" s="10" customFormat="1" hidden="1">
      <c r="A79" s="11"/>
      <c r="B79" s="9"/>
      <c r="C79" s="9" t="s">
        <v>91</v>
      </c>
      <c r="D79" s="9">
        <v>1.4</v>
      </c>
      <c r="I79" s="91"/>
      <c r="J79" s="11"/>
      <c r="K79" s="11"/>
      <c r="L79" s="11"/>
    </row>
    <row r="80" spans="1:12" s="10" customFormat="1" hidden="1">
      <c r="A80" s="11"/>
      <c r="B80" s="9"/>
      <c r="C80" s="9" t="s">
        <v>92</v>
      </c>
      <c r="D80" s="9">
        <v>1.5</v>
      </c>
      <c r="I80" s="91"/>
      <c r="J80" s="11"/>
      <c r="K80" s="11"/>
      <c r="L80" s="11"/>
    </row>
    <row r="81" spans="1:12" s="10" customFormat="1" ht="20.25" customHeight="1">
      <c r="A81" s="11"/>
      <c r="B81" s="9"/>
      <c r="C81" s="9"/>
      <c r="D81" s="9"/>
      <c r="I81" s="91"/>
      <c r="J81" s="11"/>
      <c r="K81" s="11"/>
      <c r="L81" s="11"/>
    </row>
    <row r="82" spans="1:12" s="10" customFormat="1" ht="20.25" customHeight="1">
      <c r="A82" s="11"/>
      <c r="B82" s="9"/>
      <c r="C82" s="9"/>
      <c r="D82" s="9"/>
      <c r="I82" s="91"/>
      <c r="J82" s="11"/>
      <c r="K82" s="11"/>
      <c r="L82" s="11"/>
    </row>
    <row r="83" spans="1:12" s="10" customFormat="1" ht="20.25" customHeight="1">
      <c r="A83" s="11"/>
      <c r="B83" s="9"/>
      <c r="C83" s="9"/>
      <c r="D83" s="9"/>
      <c r="I83" s="91"/>
      <c r="J83" s="11"/>
      <c r="K83" s="11"/>
      <c r="L83" s="11"/>
    </row>
    <row r="84" spans="1:12" s="10" customFormat="1" ht="20.25" customHeight="1">
      <c r="A84" s="11"/>
      <c r="B84" s="9"/>
      <c r="C84" s="9"/>
      <c r="D84" s="9"/>
      <c r="I84" s="91"/>
      <c r="J84" s="11"/>
      <c r="K84" s="11"/>
      <c r="L84" s="11"/>
    </row>
    <row r="85" spans="1:12" s="10" customFormat="1" ht="20.25" customHeight="1">
      <c r="A85" s="11"/>
      <c r="B85" s="9"/>
      <c r="C85" s="9"/>
      <c r="D85" s="9"/>
      <c r="I85" s="91"/>
      <c r="J85" s="11"/>
      <c r="K85" s="11"/>
      <c r="L85" s="11"/>
    </row>
    <row r="86" spans="1:12" s="10" customFormat="1" ht="20.25" customHeight="1">
      <c r="A86" s="11"/>
      <c r="B86" s="9"/>
      <c r="C86" s="9"/>
      <c r="D86" s="9"/>
      <c r="I86" s="91"/>
      <c r="J86" s="11"/>
      <c r="K86" s="11"/>
      <c r="L86" s="11"/>
    </row>
    <row r="87" spans="1:12" s="10" customFormat="1" ht="20.25" customHeight="1">
      <c r="A87" s="11"/>
      <c r="B87" s="9"/>
      <c r="C87" s="9"/>
      <c r="D87" s="9"/>
      <c r="I87" s="91"/>
      <c r="J87" s="11"/>
      <c r="K87" s="11"/>
      <c r="L87" s="11"/>
    </row>
    <row r="88" spans="1:12" s="10" customFormat="1" ht="20.25" customHeight="1">
      <c r="A88" s="11"/>
      <c r="B88" s="9"/>
      <c r="C88" s="9"/>
      <c r="D88" s="9"/>
      <c r="I88" s="91"/>
      <c r="J88" s="11"/>
      <c r="K88" s="11"/>
      <c r="L88" s="11"/>
    </row>
    <row r="89" spans="1:12" s="10" customFormat="1" ht="20.25" customHeight="1">
      <c r="A89" s="11"/>
      <c r="B89" s="9"/>
      <c r="C89" s="9"/>
      <c r="D89" s="9"/>
      <c r="I89" s="91"/>
      <c r="J89" s="11"/>
      <c r="K89" s="11"/>
      <c r="L89" s="11"/>
    </row>
    <row r="90" spans="1:12" s="10" customFormat="1" ht="20.25" customHeight="1">
      <c r="A90" s="11"/>
      <c r="B90" s="9"/>
      <c r="C90" s="9"/>
      <c r="D90" s="9"/>
      <c r="I90" s="91"/>
      <c r="J90" s="11"/>
      <c r="K90" s="11"/>
      <c r="L90" s="11"/>
    </row>
    <row r="91" spans="1:12" s="10" customFormat="1" ht="20.25" customHeight="1">
      <c r="A91" s="11"/>
      <c r="B91" s="9"/>
      <c r="C91" s="9"/>
      <c r="D91" s="9"/>
      <c r="I91" s="91"/>
      <c r="J91" s="11"/>
      <c r="K91" s="11"/>
      <c r="L91" s="11"/>
    </row>
    <row r="92" spans="1:12" ht="20.25" customHeight="1"/>
    <row r="93" spans="1:12" ht="20.25" customHeight="1"/>
    <row r="94" spans="1:12" ht="20.25" customHeight="1"/>
    <row r="95" spans="1:12" ht="20.25" customHeight="1"/>
    <row r="96" spans="1:12"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sheetData>
  <mergeCells count="50">
    <mergeCell ref="C47:D47"/>
    <mergeCell ref="I47:J47"/>
    <mergeCell ref="I42:J42"/>
    <mergeCell ref="I29:J29"/>
    <mergeCell ref="I30:J30"/>
    <mergeCell ref="I36:J36"/>
    <mergeCell ref="E57:F57"/>
    <mergeCell ref="I51:J51"/>
    <mergeCell ref="I43:J43"/>
    <mergeCell ref="I44:J44"/>
    <mergeCell ref="I45:J45"/>
    <mergeCell ref="I46:J46"/>
    <mergeCell ref="I58:J58"/>
    <mergeCell ref="I26:J26"/>
    <mergeCell ref="I28:J28"/>
    <mergeCell ref="I52:J52"/>
    <mergeCell ref="C53:D53"/>
    <mergeCell ref="C54:D54"/>
    <mergeCell ref="I54:J54"/>
    <mergeCell ref="I55:J55"/>
    <mergeCell ref="C56:D56"/>
    <mergeCell ref="C48:D48"/>
    <mergeCell ref="I48:J48"/>
    <mergeCell ref="C49:D49"/>
    <mergeCell ref="I49:J49"/>
    <mergeCell ref="I50:J50"/>
    <mergeCell ref="I37:J37"/>
    <mergeCell ref="C57:D57"/>
    <mergeCell ref="E23:H23"/>
    <mergeCell ref="I23:L23"/>
    <mergeCell ref="G24:H24"/>
    <mergeCell ref="K24:L24"/>
    <mergeCell ref="C12:D12"/>
    <mergeCell ref="C13:D13"/>
    <mergeCell ref="I27:J27"/>
    <mergeCell ref="B26:B31"/>
    <mergeCell ref="B32:B38"/>
    <mergeCell ref="C19:D19"/>
    <mergeCell ref="B2:C2"/>
    <mergeCell ref="D2:H2"/>
    <mergeCell ref="B5:D5"/>
    <mergeCell ref="B6:D6"/>
    <mergeCell ref="B7:E7"/>
    <mergeCell ref="C8:E8"/>
    <mergeCell ref="C9:E9"/>
    <mergeCell ref="B10:E10"/>
    <mergeCell ref="C16:D16"/>
    <mergeCell ref="C17:D17"/>
    <mergeCell ref="C18:D18"/>
    <mergeCell ref="C20:L20"/>
  </mergeCells>
  <phoneticPr fontId="1"/>
  <dataValidations count="7">
    <dataValidation type="list" allowBlank="1" showInputMessage="1" showErrorMessage="1" sqref="F48" xr:uid="{7B3701CF-1EC0-441D-B500-D521D2AE81FA}">
      <formula1>#REF!</formula1>
    </dataValidation>
    <dataValidation type="list" allowBlank="1" showInputMessage="1" showErrorMessage="1" sqref="F49" xr:uid="{F68DC8DA-2308-4833-9719-2C7B896B0C19}">
      <formula1>"　,A,B"</formula1>
    </dataValidation>
    <dataValidation type="list" allowBlank="1" showInputMessage="1" showErrorMessage="1" sqref="F46" xr:uid="{EE5F7B36-F1D2-4A5B-9649-B819464DF42D}">
      <formula1>",自園調理,外部搬入"</formula1>
    </dataValidation>
    <dataValidation type="list" allowBlank="1" showInputMessage="1" showErrorMessage="1" sqref="E54:E56" xr:uid="{710FA649-8B4B-49D4-B521-DE13DBA3A9E7}">
      <formula1>"　,該当,非該当"</formula1>
    </dataValidation>
    <dataValidation type="list" allowBlank="1" showInputMessage="1" showErrorMessage="1" sqref="E36:E37 E58:E59 I41 E6 I59 E41:E53 E27 E29:E30" xr:uid="{6D84D03F-A4D0-464D-80CA-3C68C6D9ED3F}">
      <formula1>"　,あり,なし"</formula1>
    </dataValidation>
    <dataValidation type="list" showInputMessage="1" showErrorMessage="1" sqref="F54" xr:uid="{83761661-BA7C-44BB-A058-2A527C228F3F}">
      <formula1>",１号,２・３号,１号及び２・３号"</formula1>
    </dataValidation>
    <dataValidation type="list" allowBlank="1" showInputMessage="1" showErrorMessage="1" sqref="F47" xr:uid="{2C984D33-C210-48F2-B2E0-9F02BAD67FA3}">
      <formula1>$C$67:$C$80</formula1>
    </dataValidation>
  </dataValidations>
  <pageMargins left="0.9055118110236221" right="0.55118110236220474" top="0.53" bottom="0.19685039370078741" header="0.31496062992125984" footer="0.19685039370078741"/>
  <pageSetup paperSize="9" scale="57"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I88"/>
  <sheetViews>
    <sheetView zoomScaleNormal="100" workbookViewId="0">
      <selection activeCell="F8" sqref="F8"/>
    </sheetView>
  </sheetViews>
  <sheetFormatPr defaultColWidth="9" defaultRowHeight="18"/>
  <cols>
    <col min="1" max="1" width="2.8984375" style="11" customWidth="1"/>
    <col min="2" max="2" width="3" style="9" customWidth="1"/>
    <col min="3" max="3" width="16.3984375" style="9" customWidth="1"/>
    <col min="4" max="4" width="25.5" style="9" customWidth="1"/>
    <col min="5" max="5" width="8" style="9" customWidth="1"/>
    <col min="6" max="6" width="9.09765625" style="10" customWidth="1"/>
    <col min="7" max="7" width="14.5" style="10" hidden="1" customWidth="1"/>
    <col min="8" max="8" width="13.8984375" style="10" customWidth="1"/>
    <col min="9" max="9" width="9" style="10"/>
    <col min="10" max="16384" width="9" style="11"/>
  </cols>
  <sheetData>
    <row r="1" spans="1:9" s="8" customFormat="1" ht="31.5" customHeight="1">
      <c r="A1" s="5" t="s">
        <v>130</v>
      </c>
      <c r="B1" s="6"/>
      <c r="C1" s="6"/>
      <c r="D1" s="6"/>
      <c r="E1" s="6"/>
      <c r="F1" s="7"/>
      <c r="G1" s="7"/>
      <c r="H1" s="7"/>
      <c r="I1" s="7"/>
    </row>
    <row r="2" spans="1:9" ht="30.75" customHeight="1">
      <c r="A2" s="5" t="s">
        <v>131</v>
      </c>
    </row>
    <row r="3" spans="1:9" ht="21.75" customHeight="1" thickBot="1">
      <c r="A3" s="5"/>
    </row>
    <row r="4" spans="1:9" ht="19.5" customHeight="1" thickBot="1">
      <c r="A4" s="9"/>
      <c r="B4" s="398" t="s">
        <v>1</v>
      </c>
      <c r="C4" s="398"/>
      <c r="D4" s="378" t="s">
        <v>52</v>
      </c>
      <c r="E4" s="379"/>
      <c r="F4" s="379"/>
      <c r="G4" s="379"/>
      <c r="H4" s="380"/>
    </row>
    <row r="5" spans="1:9" ht="19.5" customHeight="1">
      <c r="A5" s="9"/>
      <c r="C5" s="12"/>
      <c r="D5" s="12"/>
      <c r="E5" s="12"/>
      <c r="F5" s="12"/>
      <c r="G5" s="12"/>
      <c r="H5" s="12"/>
    </row>
    <row r="6" spans="1:9" ht="19.5" customHeight="1" thickBot="1">
      <c r="A6" s="13" t="s">
        <v>11</v>
      </c>
    </row>
    <row r="7" spans="1:9" ht="33.75" customHeight="1" thickBot="1">
      <c r="B7" s="375"/>
      <c r="C7" s="368"/>
      <c r="D7" s="369"/>
      <c r="E7" s="18" t="s">
        <v>12</v>
      </c>
      <c r="F7" s="269" t="s">
        <v>13</v>
      </c>
      <c r="G7" s="399" t="s">
        <v>14</v>
      </c>
      <c r="H7" s="436"/>
    </row>
    <row r="8" spans="1:9" ht="24" customHeight="1" thickBot="1">
      <c r="B8" s="31" t="s">
        <v>132</v>
      </c>
      <c r="C8" s="368" t="s">
        <v>133</v>
      </c>
      <c r="D8" s="369"/>
      <c r="E8" s="109" t="s">
        <v>18</v>
      </c>
      <c r="F8" s="270" t="s">
        <v>134</v>
      </c>
      <c r="G8" s="254"/>
      <c r="H8" s="271">
        <f>IF(E8="あり",IF(F8="４人以上",1.1,0.5))</f>
        <v>1.1000000000000001</v>
      </c>
    </row>
    <row r="9" spans="1:9" ht="24" customHeight="1" thickBot="1">
      <c r="B9" s="31" t="s">
        <v>107</v>
      </c>
      <c r="C9" s="368" t="s">
        <v>135</v>
      </c>
      <c r="D9" s="369"/>
      <c r="E9" s="109" t="s">
        <v>18</v>
      </c>
      <c r="F9" s="270">
        <v>3</v>
      </c>
      <c r="G9" s="52"/>
      <c r="H9" s="53">
        <f>IF(E9="あり",F9*0.3,0)</f>
        <v>0.89999999999999991</v>
      </c>
    </row>
    <row r="10" spans="1:9" ht="24" customHeight="1">
      <c r="B10" s="31" t="s">
        <v>136</v>
      </c>
      <c r="C10" s="107" t="s">
        <v>42</v>
      </c>
      <c r="D10" s="210"/>
      <c r="E10" s="4" t="s">
        <v>18</v>
      </c>
      <c r="F10" s="110"/>
      <c r="G10" s="52"/>
      <c r="H10" s="53">
        <f>IF(E10="あり",0.6,0)</f>
        <v>0.6</v>
      </c>
    </row>
    <row r="11" spans="1:9" ht="27.75" customHeight="1">
      <c r="B11" s="31" t="s">
        <v>110</v>
      </c>
      <c r="C11" s="434" t="s">
        <v>137</v>
      </c>
      <c r="D11" s="435"/>
      <c r="E11" s="4" t="s">
        <v>18</v>
      </c>
      <c r="F11" s="30"/>
      <c r="G11" s="52"/>
      <c r="H11" s="54">
        <f>IF(E11="あり",-1,0)</f>
        <v>-1</v>
      </c>
    </row>
    <row r="12" spans="1:9" ht="27.75" customHeight="1" thickBot="1">
      <c r="B12" s="32" t="s">
        <v>138</v>
      </c>
      <c r="C12" s="33"/>
      <c r="D12" s="33"/>
      <c r="E12" s="34"/>
      <c r="F12" s="35"/>
      <c r="G12" s="55"/>
      <c r="H12" s="81">
        <v>2.6</v>
      </c>
    </row>
    <row r="13" spans="1:9" ht="24" customHeight="1" thickTop="1" thickBot="1">
      <c r="B13" s="36" t="s">
        <v>47</v>
      </c>
      <c r="F13" s="37"/>
      <c r="G13" s="57"/>
      <c r="H13" s="58">
        <f>SUM(H8:H12)</f>
        <v>4.2</v>
      </c>
    </row>
    <row r="14" spans="1:9" ht="24" customHeight="1" thickBot="1">
      <c r="B14" s="87" t="s">
        <v>48</v>
      </c>
      <c r="C14" s="88"/>
      <c r="D14" s="88"/>
      <c r="E14" s="88"/>
      <c r="F14" s="89"/>
      <c r="G14" s="59"/>
      <c r="H14" s="140">
        <f>ROUND(H13,0)</f>
        <v>4</v>
      </c>
    </row>
    <row r="15" spans="1:9" ht="25.5" customHeight="1">
      <c r="F15" s="9"/>
      <c r="H15" s="43"/>
      <c r="I15" s="11"/>
    </row>
    <row r="16" spans="1:9" ht="25.5" customHeight="1" thickBot="1">
      <c r="A16" s="13" t="s">
        <v>49</v>
      </c>
      <c r="F16" s="9"/>
      <c r="I16" s="11"/>
    </row>
    <row r="17" spans="2:9" ht="25.5" customHeight="1" thickBot="1">
      <c r="B17" s="45"/>
      <c r="C17" s="46">
        <v>11030</v>
      </c>
      <c r="D17" s="44" t="s">
        <v>78</v>
      </c>
      <c r="E17" s="44"/>
      <c r="F17" s="44"/>
      <c r="G17" s="47"/>
      <c r="H17" s="64">
        <f>C17*H14</f>
        <v>44120</v>
      </c>
      <c r="I17" s="11"/>
    </row>
    <row r="18" spans="2:9" ht="33.75" customHeight="1"/>
    <row r="19" spans="2:9" ht="33.75" customHeight="1"/>
    <row r="20" spans="2:9" ht="33.75" customHeight="1"/>
    <row r="21" spans="2:9" ht="33.75" customHeight="1"/>
    <row r="22" spans="2:9" ht="33.75" customHeight="1"/>
    <row r="23" spans="2:9" ht="33.75" customHeight="1"/>
    <row r="24" spans="2:9" ht="33.75" customHeight="1"/>
    <row r="25" spans="2:9" ht="33.75" customHeight="1"/>
    <row r="26" spans="2:9" ht="33.75" customHeight="1"/>
    <row r="27" spans="2:9" ht="33.75" customHeight="1"/>
    <row r="28" spans="2:9" ht="20.25" customHeight="1"/>
    <row r="29" spans="2:9" ht="20.25" customHeight="1"/>
    <row r="30" spans="2:9" ht="20.25" customHeight="1"/>
    <row r="31" spans="2:9" ht="20.25" customHeight="1"/>
    <row r="32" spans="2:9"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sheetData>
  <mergeCells count="7">
    <mergeCell ref="C11:D11"/>
    <mergeCell ref="C9:D9"/>
    <mergeCell ref="B4:C4"/>
    <mergeCell ref="D4:H4"/>
    <mergeCell ref="B7:D7"/>
    <mergeCell ref="G7:H7"/>
    <mergeCell ref="C8:D8"/>
  </mergeCells>
  <phoneticPr fontId="1"/>
  <dataValidations count="2">
    <dataValidation type="list" allowBlank="1" showInputMessage="1" showErrorMessage="1" sqref="E8:E11" xr:uid="{00000000-0002-0000-0300-000000000000}">
      <formula1>"　,あり,なし"</formula1>
    </dataValidation>
    <dataValidation type="list" allowBlank="1" showInputMessage="1" showErrorMessage="1" sqref="F8" xr:uid="{D54BF336-00AA-4102-A415-52FC7D712830}">
      <formula1>",４人以上,３人以下,"</formula1>
    </dataValidation>
  </dataValidations>
  <pageMargins left="0.92" right="0.56000000000000005" top="0.75" bottom="0.75" header="0.3" footer="0.3"/>
  <pageSetup paperSize="9" scale="95"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J99"/>
  <sheetViews>
    <sheetView zoomScale="85" zoomScaleNormal="85" workbookViewId="0">
      <selection activeCell="H14" sqref="H14"/>
    </sheetView>
  </sheetViews>
  <sheetFormatPr defaultColWidth="9" defaultRowHeight="18"/>
  <cols>
    <col min="1" max="1" width="2.8984375" style="11" customWidth="1"/>
    <col min="2" max="2" width="3" style="9" customWidth="1"/>
    <col min="3" max="3" width="16.3984375" style="9" customWidth="1"/>
    <col min="4" max="4" width="25.5" style="9" customWidth="1"/>
    <col min="5" max="5" width="8" style="9" customWidth="1"/>
    <col min="6" max="6" width="12.69921875" style="10" customWidth="1"/>
    <col min="7" max="7" width="14.5" style="10" hidden="1" customWidth="1"/>
    <col min="8" max="8" width="13.8984375" style="10" customWidth="1"/>
    <col min="9" max="9" width="9" style="10"/>
    <col min="10" max="16384" width="9" style="11"/>
  </cols>
  <sheetData>
    <row r="1" spans="1:10" s="8" customFormat="1" ht="31.5" customHeight="1">
      <c r="A1" s="5" t="s">
        <v>130</v>
      </c>
      <c r="B1" s="6"/>
      <c r="C1" s="6"/>
      <c r="D1" s="6"/>
      <c r="E1" s="6"/>
      <c r="F1" s="7"/>
      <c r="G1" s="7"/>
      <c r="H1" s="7"/>
      <c r="I1" s="7"/>
    </row>
    <row r="2" spans="1:10" ht="30.75" customHeight="1">
      <c r="A2" s="5" t="s">
        <v>139</v>
      </c>
    </row>
    <row r="3" spans="1:10" ht="30.75" customHeight="1">
      <c r="A3" s="5" t="s">
        <v>161</v>
      </c>
    </row>
    <row r="4" spans="1:10" ht="21.75" customHeight="1" thickBot="1">
      <c r="A4" s="5"/>
    </row>
    <row r="5" spans="1:10" ht="19.5" customHeight="1" thickBot="1">
      <c r="A5" s="9"/>
      <c r="B5" s="398" t="s">
        <v>1</v>
      </c>
      <c r="C5" s="398"/>
      <c r="D5" s="378" t="s">
        <v>52</v>
      </c>
      <c r="E5" s="379"/>
      <c r="F5" s="379"/>
      <c r="G5" s="379"/>
      <c r="H5" s="380"/>
    </row>
    <row r="6" spans="1:10" ht="19.5" customHeight="1">
      <c r="A6" s="9"/>
      <c r="C6" s="12"/>
      <c r="D6" s="12"/>
      <c r="E6" s="12"/>
      <c r="F6" s="12"/>
      <c r="G6" s="12"/>
      <c r="H6" s="12"/>
    </row>
    <row r="7" spans="1:10" ht="19.5" customHeight="1" thickBot="1">
      <c r="A7" s="13" t="s">
        <v>11</v>
      </c>
    </row>
    <row r="8" spans="1:10" ht="33.75" customHeight="1">
      <c r="B8" s="375"/>
      <c r="C8" s="368"/>
      <c r="D8" s="369"/>
      <c r="E8" s="18" t="s">
        <v>12</v>
      </c>
      <c r="F8" s="19" t="s">
        <v>13</v>
      </c>
      <c r="G8" s="399" t="s">
        <v>14</v>
      </c>
      <c r="H8" s="436"/>
    </row>
    <row r="9" spans="1:10" ht="24" customHeight="1" thickBot="1">
      <c r="B9" s="20" t="s">
        <v>15</v>
      </c>
      <c r="C9" s="65" t="s">
        <v>16</v>
      </c>
      <c r="D9" s="65"/>
      <c r="E9" s="21"/>
      <c r="F9" s="22"/>
      <c r="G9" s="48"/>
      <c r="H9" s="286">
        <f>H16*1.3</f>
        <v>9.1</v>
      </c>
    </row>
    <row r="10" spans="1:10" ht="28.5" customHeight="1" thickBot="1">
      <c r="B10" s="23"/>
      <c r="C10" s="437" t="s">
        <v>140</v>
      </c>
      <c r="D10" s="438"/>
      <c r="E10" s="101"/>
      <c r="F10" s="1">
        <v>1</v>
      </c>
      <c r="G10" s="73">
        <f>F10*1/30</f>
        <v>3.3333333333333333E-2</v>
      </c>
      <c r="H10" s="287">
        <f>ROUNDDOWN(G10,1)</f>
        <v>0</v>
      </c>
      <c r="J10" s="25"/>
    </row>
    <row r="11" spans="1:10" ht="28.5" customHeight="1" thickBot="1">
      <c r="B11" s="23"/>
      <c r="C11" s="439" t="s">
        <v>141</v>
      </c>
      <c r="D11" s="440"/>
      <c r="E11" s="24"/>
      <c r="F11" s="1">
        <v>5</v>
      </c>
      <c r="G11" s="49">
        <f>F11*1/20</f>
        <v>0.25</v>
      </c>
      <c r="H11" s="281">
        <f>ROUNDDOWN(G11,1)</f>
        <v>0.2</v>
      </c>
      <c r="J11" s="25"/>
    </row>
    <row r="12" spans="1:10" ht="28.5" customHeight="1" thickBot="1">
      <c r="B12" s="23"/>
      <c r="C12" s="439" t="s">
        <v>142</v>
      </c>
      <c r="D12" s="440"/>
      <c r="E12" s="24"/>
      <c r="F12" s="1">
        <v>10</v>
      </c>
      <c r="G12" s="49">
        <f>F12*1/6</f>
        <v>1.6666666666666667</v>
      </c>
      <c r="H12" s="281">
        <f>ROUNDDOWN(G12,1)</f>
        <v>1.6</v>
      </c>
      <c r="J12" s="25"/>
    </row>
    <row r="13" spans="1:10" ht="28.5" customHeight="1" thickBot="1">
      <c r="B13" s="23"/>
      <c r="C13" s="439" t="s">
        <v>143</v>
      </c>
      <c r="D13" s="371"/>
      <c r="E13" s="24"/>
      <c r="F13" s="1">
        <v>4</v>
      </c>
      <c r="G13" s="49">
        <f>F13*1/3</f>
        <v>1.3333333333333333</v>
      </c>
      <c r="H13" s="281">
        <f>ROUNDDOWN(G13,1)</f>
        <v>1.3</v>
      </c>
      <c r="J13" s="25"/>
    </row>
    <row r="14" spans="1:10" ht="24" customHeight="1" thickBot="1">
      <c r="B14" s="23"/>
      <c r="C14" s="370" t="s">
        <v>144</v>
      </c>
      <c r="D14" s="371"/>
      <c r="E14" s="84" t="s">
        <v>18</v>
      </c>
      <c r="F14" s="1">
        <v>6</v>
      </c>
      <c r="G14" s="49">
        <f>IF(E14="あり",F14/2,0)</f>
        <v>3</v>
      </c>
      <c r="H14" s="281">
        <f>ROUNDDOWN(G14,1)</f>
        <v>3</v>
      </c>
      <c r="J14" s="25"/>
    </row>
    <row r="15" spans="1:10" ht="24" customHeight="1" thickBot="1">
      <c r="B15" s="26"/>
      <c r="C15" s="443" t="s">
        <v>145</v>
      </c>
      <c r="D15" s="444"/>
      <c r="E15" s="85"/>
      <c r="F15" s="86"/>
      <c r="G15" s="90"/>
      <c r="H15" s="288">
        <v>1</v>
      </c>
      <c r="J15" s="25"/>
    </row>
    <row r="16" spans="1:10" ht="24" customHeight="1" thickTop="1">
      <c r="B16" s="26"/>
      <c r="C16" s="441" t="s">
        <v>65</v>
      </c>
      <c r="D16" s="442"/>
      <c r="E16" s="27"/>
      <c r="F16" s="28"/>
      <c r="G16" s="51"/>
      <c r="H16" s="283">
        <f>ROUND(SUM(H10:H15),0)</f>
        <v>7</v>
      </c>
      <c r="J16" s="25"/>
    </row>
    <row r="17" spans="1:9" ht="24" customHeight="1" thickBot="1">
      <c r="B17" s="29" t="s">
        <v>21</v>
      </c>
      <c r="C17" s="368" t="s">
        <v>66</v>
      </c>
      <c r="D17" s="369"/>
      <c r="E17" s="4" t="s">
        <v>18</v>
      </c>
      <c r="F17" s="108"/>
      <c r="G17" s="52"/>
      <c r="H17" s="53">
        <f>IF(E17="あり",0.4,0)</f>
        <v>0.4</v>
      </c>
    </row>
    <row r="18" spans="1:9" ht="24" customHeight="1" thickBot="1">
      <c r="B18" s="29" t="s">
        <v>23</v>
      </c>
      <c r="C18" s="368" t="s">
        <v>69</v>
      </c>
      <c r="D18" s="369"/>
      <c r="E18" s="109" t="s">
        <v>18</v>
      </c>
      <c r="F18" s="244" t="s">
        <v>70</v>
      </c>
      <c r="G18" s="227">
        <f>VLOOKUP(F18,$C$31:$D$44,2,FALSE)</f>
        <v>0.5</v>
      </c>
      <c r="H18" s="53">
        <f>IF(E18="あり",G18,0)</f>
        <v>0.5</v>
      </c>
    </row>
    <row r="19" spans="1:9" ht="24" customHeight="1">
      <c r="B19" s="29" t="s">
        <v>110</v>
      </c>
      <c r="C19" s="368" t="s">
        <v>71</v>
      </c>
      <c r="D19" s="369"/>
      <c r="E19" s="4" t="s">
        <v>18</v>
      </c>
      <c r="F19" s="110"/>
      <c r="G19" s="52"/>
      <c r="H19" s="53">
        <f>IF(E19="あり",2.7,0)</f>
        <v>2.7</v>
      </c>
    </row>
    <row r="20" spans="1:9" ht="24" customHeight="1">
      <c r="B20" s="29" t="s">
        <v>111</v>
      </c>
      <c r="C20" s="107" t="s">
        <v>42</v>
      </c>
      <c r="D20" s="210"/>
      <c r="E20" s="4" t="s">
        <v>18</v>
      </c>
      <c r="F20" s="30"/>
      <c r="G20" s="52"/>
      <c r="H20" s="53">
        <f>IF(E20="あり",0.6,0)</f>
        <v>0.6</v>
      </c>
    </row>
    <row r="21" spans="1:9" ht="27.75" customHeight="1">
      <c r="B21" s="31" t="s">
        <v>113</v>
      </c>
      <c r="C21" s="434" t="s">
        <v>137</v>
      </c>
      <c r="D21" s="435"/>
      <c r="E21" s="4" t="s">
        <v>18</v>
      </c>
      <c r="F21" s="30"/>
      <c r="G21" s="52"/>
      <c r="H21" s="54">
        <f>IF(E21="あり",-1.2,0)</f>
        <v>-1.2</v>
      </c>
    </row>
    <row r="22" spans="1:9" ht="27.75" customHeight="1">
      <c r="B22" s="214" t="s">
        <v>32</v>
      </c>
      <c r="C22" s="434" t="s">
        <v>146</v>
      </c>
      <c r="D22" s="435"/>
      <c r="E22" s="4" t="s">
        <v>18</v>
      </c>
      <c r="F22" s="108"/>
      <c r="G22" s="225"/>
      <c r="H22" s="54">
        <f>IF(E22="あり",-0.4,0)</f>
        <v>-0.4</v>
      </c>
    </row>
    <row r="23" spans="1:9" ht="27.75" customHeight="1" thickBot="1">
      <c r="B23" s="32" t="s">
        <v>138</v>
      </c>
      <c r="C23" s="33"/>
      <c r="D23" s="33"/>
      <c r="E23" s="34"/>
      <c r="F23" s="35"/>
      <c r="G23" s="55"/>
      <c r="H23" s="81">
        <v>3.1</v>
      </c>
    </row>
    <row r="24" spans="1:9" ht="24" customHeight="1" thickTop="1" thickBot="1">
      <c r="B24" s="36" t="s">
        <v>47</v>
      </c>
      <c r="F24" s="37"/>
      <c r="G24" s="57"/>
      <c r="H24" s="58">
        <f>SUM(H17:H23,H9)</f>
        <v>14.8</v>
      </c>
    </row>
    <row r="25" spans="1:9" ht="24" customHeight="1" thickBot="1">
      <c r="B25" s="87" t="s">
        <v>48</v>
      </c>
      <c r="C25" s="88"/>
      <c r="D25" s="88"/>
      <c r="E25" s="88"/>
      <c r="F25" s="89"/>
      <c r="G25" s="59"/>
      <c r="H25" s="140">
        <f>ROUND(H24,0)</f>
        <v>15</v>
      </c>
    </row>
    <row r="26" spans="1:9" ht="25.5" customHeight="1">
      <c r="F26" s="9"/>
      <c r="H26" s="43"/>
      <c r="I26" s="11"/>
    </row>
    <row r="27" spans="1:9" ht="25.5" customHeight="1" thickBot="1">
      <c r="A27" s="13" t="s">
        <v>49</v>
      </c>
      <c r="F27" s="9"/>
      <c r="I27" s="11"/>
    </row>
    <row r="28" spans="1:9" ht="25.5" customHeight="1" thickBot="1">
      <c r="B28" s="45"/>
      <c r="C28" s="46">
        <v>11030</v>
      </c>
      <c r="D28" s="44" t="s">
        <v>78</v>
      </c>
      <c r="E28" s="44"/>
      <c r="F28" s="44"/>
      <c r="G28" s="47"/>
      <c r="H28" s="64">
        <f>C28*H25</f>
        <v>165450</v>
      </c>
      <c r="I28" s="11"/>
    </row>
    <row r="29" spans="1:9" ht="33.75" customHeight="1"/>
    <row r="30" spans="1:9" hidden="1">
      <c r="C30" s="9" t="s">
        <v>79</v>
      </c>
    </row>
    <row r="31" spans="1:9" hidden="1">
      <c r="C31" s="9" t="s">
        <v>70</v>
      </c>
      <c r="D31" s="9">
        <v>0.5</v>
      </c>
    </row>
    <row r="32" spans="1:9" hidden="1">
      <c r="C32" s="9" t="s">
        <v>80</v>
      </c>
      <c r="D32" s="9">
        <v>0.5</v>
      </c>
    </row>
    <row r="33" spans="3:4" hidden="1">
      <c r="C33" s="9" t="s">
        <v>81</v>
      </c>
      <c r="D33" s="9">
        <v>0.6</v>
      </c>
    </row>
    <row r="34" spans="3:4" hidden="1">
      <c r="C34" s="9" t="s">
        <v>82</v>
      </c>
      <c r="D34" s="9">
        <v>0.7</v>
      </c>
    </row>
    <row r="35" spans="3:4" hidden="1">
      <c r="C35" s="9" t="s">
        <v>83</v>
      </c>
      <c r="D35" s="9">
        <v>0.8</v>
      </c>
    </row>
    <row r="36" spans="3:4" hidden="1">
      <c r="C36" s="9" t="s">
        <v>84</v>
      </c>
      <c r="D36" s="9">
        <v>0.8</v>
      </c>
    </row>
    <row r="37" spans="3:4" hidden="1">
      <c r="C37" s="9" t="s">
        <v>85</v>
      </c>
      <c r="D37" s="9">
        <v>0.9</v>
      </c>
    </row>
    <row r="38" spans="3:4" hidden="1">
      <c r="C38" s="9" t="s">
        <v>86</v>
      </c>
      <c r="D38" s="9">
        <v>1</v>
      </c>
    </row>
    <row r="39" spans="3:4" hidden="1">
      <c r="C39" s="9" t="s">
        <v>87</v>
      </c>
      <c r="D39" s="9">
        <v>1.1000000000000001</v>
      </c>
    </row>
    <row r="40" spans="3:4" hidden="1">
      <c r="C40" s="9" t="s">
        <v>88</v>
      </c>
      <c r="D40" s="9">
        <v>1.1000000000000001</v>
      </c>
    </row>
    <row r="41" spans="3:4" hidden="1">
      <c r="C41" s="9" t="s">
        <v>89</v>
      </c>
      <c r="D41" s="9">
        <v>1.2</v>
      </c>
    </row>
    <row r="42" spans="3:4" hidden="1">
      <c r="C42" s="9" t="s">
        <v>90</v>
      </c>
      <c r="D42" s="9">
        <v>1.3</v>
      </c>
    </row>
    <row r="43" spans="3:4" hidden="1">
      <c r="C43" s="9" t="s">
        <v>91</v>
      </c>
      <c r="D43" s="9">
        <v>1.4</v>
      </c>
    </row>
    <row r="44" spans="3:4" hidden="1">
      <c r="C44" s="9" t="s">
        <v>92</v>
      </c>
      <c r="D44" s="9">
        <v>1.5</v>
      </c>
    </row>
    <row r="45" spans="3:4" ht="18" customHeight="1"/>
    <row r="46" spans="3:4" ht="20.25" customHeight="1"/>
    <row r="47" spans="3:4" ht="20.25" customHeight="1"/>
    <row r="48" spans="3:4"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sheetData>
  <mergeCells count="16">
    <mergeCell ref="C19:D19"/>
    <mergeCell ref="C22:D22"/>
    <mergeCell ref="B5:C5"/>
    <mergeCell ref="C10:D10"/>
    <mergeCell ref="C11:D11"/>
    <mergeCell ref="D5:H5"/>
    <mergeCell ref="G8:H8"/>
    <mergeCell ref="C21:D21"/>
    <mergeCell ref="C18:D18"/>
    <mergeCell ref="C17:D17"/>
    <mergeCell ref="C16:D16"/>
    <mergeCell ref="C15:D15"/>
    <mergeCell ref="C13:D13"/>
    <mergeCell ref="C14:D14"/>
    <mergeCell ref="C12:D12"/>
    <mergeCell ref="B8:D8"/>
  </mergeCells>
  <phoneticPr fontId="1"/>
  <dataValidations count="2">
    <dataValidation type="list" allowBlank="1" showInputMessage="1" showErrorMessage="1" sqref="E14 E17:E22" xr:uid="{00000000-0002-0000-0400-000000000000}">
      <formula1>"　,あり,なし"</formula1>
    </dataValidation>
    <dataValidation type="list" allowBlank="1" showInputMessage="1" showErrorMessage="1" sqref="F18" xr:uid="{9B189884-C3AB-4EB5-AE50-BA86B0D37F9C}">
      <formula1>$C$31:$C$44</formula1>
    </dataValidation>
  </dataValidations>
  <pageMargins left="0.92" right="0.56000000000000005" top="0.75" bottom="0.75" header="0.3" footer="0.3"/>
  <pageSetup paperSize="9" scale="95"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J95"/>
  <sheetViews>
    <sheetView zoomScale="85" zoomScaleNormal="85" workbookViewId="0">
      <selection activeCell="C24" sqref="C24"/>
    </sheetView>
  </sheetViews>
  <sheetFormatPr defaultColWidth="9" defaultRowHeight="18"/>
  <cols>
    <col min="1" max="1" width="2.8984375" style="11" customWidth="1"/>
    <col min="2" max="2" width="3" style="9" customWidth="1"/>
    <col min="3" max="3" width="13.09765625" style="9" customWidth="1"/>
    <col min="4" max="4" width="23.3984375" style="9" customWidth="1"/>
    <col min="5" max="5" width="8" style="9" customWidth="1"/>
    <col min="6" max="6" width="9.3984375" style="10" customWidth="1"/>
    <col min="7" max="7" width="8" style="10" hidden="1" customWidth="1"/>
    <col min="8" max="8" width="13.69921875" style="10" customWidth="1"/>
    <col min="9" max="9" width="9" style="10"/>
    <col min="10" max="16384" width="9" style="11"/>
  </cols>
  <sheetData>
    <row r="1" spans="1:10" s="8" customFormat="1" ht="25.5" customHeight="1">
      <c r="A1" s="5" t="s">
        <v>130</v>
      </c>
      <c r="B1" s="6"/>
      <c r="C1" s="6"/>
      <c r="D1" s="6"/>
      <c r="E1" s="6"/>
      <c r="F1" s="7"/>
      <c r="G1" s="7"/>
      <c r="H1" s="7"/>
      <c r="I1" s="7"/>
    </row>
    <row r="2" spans="1:10" ht="25.5" customHeight="1">
      <c r="A2" s="5" t="s">
        <v>147</v>
      </c>
    </row>
    <row r="3" spans="1:10" ht="25.5" customHeight="1" thickBot="1">
      <c r="A3" s="5"/>
    </row>
    <row r="4" spans="1:10" ht="25.5" customHeight="1" thickBot="1">
      <c r="A4" s="9"/>
      <c r="B4" s="398" t="s">
        <v>1</v>
      </c>
      <c r="C4" s="398"/>
      <c r="D4" s="378" t="s">
        <v>52</v>
      </c>
      <c r="E4" s="379"/>
      <c r="F4" s="379"/>
      <c r="G4" s="379"/>
      <c r="H4" s="380"/>
    </row>
    <row r="5" spans="1:10" ht="25.5" customHeight="1">
      <c r="A5" s="9"/>
      <c r="C5" s="12"/>
      <c r="D5" s="12"/>
      <c r="E5" s="12"/>
      <c r="F5" s="12"/>
      <c r="G5" s="12"/>
      <c r="H5" s="12"/>
    </row>
    <row r="6" spans="1:10" ht="19.5" customHeight="1" thickBot="1">
      <c r="A6" s="13" t="s">
        <v>11</v>
      </c>
    </row>
    <row r="7" spans="1:10" ht="28.5" customHeight="1">
      <c r="B7" s="376"/>
      <c r="C7" s="377"/>
      <c r="D7" s="453"/>
      <c r="E7" s="18" t="s">
        <v>12</v>
      </c>
      <c r="F7" s="19" t="s">
        <v>13</v>
      </c>
      <c r="G7" s="399" t="s">
        <v>14</v>
      </c>
      <c r="H7" s="436"/>
    </row>
    <row r="8" spans="1:10" ht="25.5" customHeight="1" thickBot="1">
      <c r="B8" s="20" t="s">
        <v>15</v>
      </c>
      <c r="C8" s="65" t="s">
        <v>16</v>
      </c>
      <c r="D8" s="65"/>
      <c r="E8" s="21"/>
      <c r="F8" s="22"/>
      <c r="G8" s="48"/>
      <c r="H8" s="286">
        <f>H14*1.3</f>
        <v>3.9000000000000004</v>
      </c>
    </row>
    <row r="9" spans="1:10" ht="25.5" customHeight="1" thickBot="1">
      <c r="B9" s="23"/>
      <c r="C9" s="437" t="s">
        <v>148</v>
      </c>
      <c r="D9" s="438"/>
      <c r="E9" s="66"/>
      <c r="F9" s="1">
        <v>15</v>
      </c>
      <c r="G9" s="73">
        <f>IF(E10="あり",F9/5,F9/3)</f>
        <v>3</v>
      </c>
      <c r="H9" s="287">
        <f>IF(E11="なし",ROUND(G9,1),0)</f>
        <v>0</v>
      </c>
      <c r="J9" s="25"/>
    </row>
    <row r="10" spans="1:10" ht="25.5" customHeight="1">
      <c r="B10" s="23"/>
      <c r="C10" s="445" t="s">
        <v>149</v>
      </c>
      <c r="D10" s="446"/>
      <c r="E10" s="67" t="s">
        <v>18</v>
      </c>
      <c r="F10" s="28"/>
      <c r="G10" s="74"/>
      <c r="H10" s="75"/>
      <c r="J10" s="25"/>
    </row>
    <row r="11" spans="1:10" ht="25.5" customHeight="1" thickBot="1">
      <c r="B11" s="23"/>
      <c r="C11" s="451" t="s">
        <v>150</v>
      </c>
      <c r="D11" s="452"/>
      <c r="E11" s="68" t="s">
        <v>18</v>
      </c>
      <c r="F11" s="69"/>
      <c r="G11" s="76"/>
      <c r="H11" s="77"/>
      <c r="J11" s="25"/>
    </row>
    <row r="12" spans="1:10" ht="25.5" customHeight="1" thickBot="1">
      <c r="B12" s="23"/>
      <c r="C12" s="370" t="s">
        <v>151</v>
      </c>
      <c r="D12" s="371"/>
      <c r="E12" s="24"/>
      <c r="F12" s="1">
        <v>7</v>
      </c>
      <c r="G12" s="78">
        <f>IF(E11="あり",F12/5,0)</f>
        <v>1.4</v>
      </c>
      <c r="H12" s="280">
        <f>ROUNDDOWN(G12,1)</f>
        <v>1.4</v>
      </c>
      <c r="J12" s="25"/>
    </row>
    <row r="13" spans="1:10" ht="25.5" customHeight="1" thickBot="1">
      <c r="B13" s="23"/>
      <c r="C13" s="443" t="s">
        <v>152</v>
      </c>
      <c r="D13" s="444"/>
      <c r="E13" s="70"/>
      <c r="F13" s="2">
        <v>3</v>
      </c>
      <c r="G13" s="50">
        <f>IF(E11="あり",F13/2,0)</f>
        <v>1.5</v>
      </c>
      <c r="H13" s="282">
        <f>ROUNDDOWN(G13,1)</f>
        <v>1.5</v>
      </c>
      <c r="J13" s="25"/>
    </row>
    <row r="14" spans="1:10" ht="25.5" customHeight="1" thickTop="1">
      <c r="B14" s="26"/>
      <c r="C14" s="71" t="s">
        <v>65</v>
      </c>
      <c r="D14" s="71"/>
      <c r="E14" s="27"/>
      <c r="F14" s="28"/>
      <c r="G14" s="79"/>
      <c r="H14" s="283">
        <f>ROUND(SUM(H9:H13),0)</f>
        <v>3</v>
      </c>
      <c r="J14" s="25"/>
    </row>
    <row r="15" spans="1:10" ht="25.5" customHeight="1">
      <c r="B15" s="20" t="s">
        <v>21</v>
      </c>
      <c r="C15" s="374" t="s">
        <v>66</v>
      </c>
      <c r="D15" s="454"/>
      <c r="E15" s="218" t="s">
        <v>18</v>
      </c>
      <c r="F15" s="108"/>
      <c r="G15" s="289"/>
      <c r="H15" s="256">
        <f>IF(E15="あり",0.4,0)</f>
        <v>0.4</v>
      </c>
    </row>
    <row r="16" spans="1:10" ht="25.5" customHeight="1">
      <c r="B16" s="20" t="s">
        <v>23</v>
      </c>
      <c r="C16" s="253" t="s">
        <v>42</v>
      </c>
      <c r="D16" s="255"/>
      <c r="E16" s="218" t="s">
        <v>18</v>
      </c>
      <c r="F16" s="108"/>
      <c r="G16" s="289"/>
      <c r="H16" s="256">
        <f>IF(E16="あり",0.6,0)</f>
        <v>0.6</v>
      </c>
    </row>
    <row r="17" spans="1:9" ht="25.5" customHeight="1">
      <c r="B17" s="31" t="s">
        <v>25</v>
      </c>
      <c r="C17" s="434" t="s">
        <v>137</v>
      </c>
      <c r="D17" s="435"/>
      <c r="E17" s="4" t="s">
        <v>18</v>
      </c>
      <c r="F17" s="30"/>
      <c r="G17" s="290"/>
      <c r="H17" s="54">
        <f>IF(E17="あり",-0.6,0)</f>
        <v>-0.6</v>
      </c>
    </row>
    <row r="18" spans="1:9" ht="25.5" customHeight="1">
      <c r="B18" s="226" t="s">
        <v>111</v>
      </c>
      <c r="C18" s="434" t="s">
        <v>146</v>
      </c>
      <c r="D18" s="434"/>
      <c r="E18" s="4" t="s">
        <v>18</v>
      </c>
      <c r="F18" s="207"/>
      <c r="G18" s="82"/>
      <c r="H18" s="80">
        <f>IF(E18="あり",-0.4,0)</f>
        <v>-0.4</v>
      </c>
    </row>
    <row r="19" spans="1:9" ht="25.5" customHeight="1" thickBot="1">
      <c r="B19" s="447" t="s">
        <v>138</v>
      </c>
      <c r="C19" s="448"/>
      <c r="D19" s="448"/>
      <c r="E19" s="449"/>
      <c r="F19" s="450"/>
      <c r="G19" s="55"/>
      <c r="H19" s="81">
        <v>1.8</v>
      </c>
    </row>
    <row r="20" spans="1:9" ht="25.5" customHeight="1" thickTop="1" thickBot="1">
      <c r="B20" s="36" t="s">
        <v>47</v>
      </c>
      <c r="F20" s="37"/>
      <c r="G20" s="82"/>
      <c r="H20" s="58">
        <f>SUM(H8,H15:H19)</f>
        <v>5.7000000000000011</v>
      </c>
    </row>
    <row r="21" spans="1:9" ht="25.5" customHeight="1" thickBot="1">
      <c r="B21" s="38" t="s">
        <v>48</v>
      </c>
      <c r="C21" s="39"/>
      <c r="D21" s="39"/>
      <c r="E21" s="39"/>
      <c r="F21" s="40"/>
      <c r="G21" s="83"/>
      <c r="H21" s="60">
        <f>ROUND(H20,0)</f>
        <v>6</v>
      </c>
    </row>
    <row r="22" spans="1:9" ht="25.5" customHeight="1">
      <c r="F22" s="9"/>
      <c r="H22" s="43"/>
      <c r="I22" s="11"/>
    </row>
    <row r="23" spans="1:9" ht="25.5" customHeight="1" thickBot="1">
      <c r="A23" s="13" t="s">
        <v>49</v>
      </c>
      <c r="F23" s="9"/>
      <c r="I23" s="11"/>
    </row>
    <row r="24" spans="1:9" ht="25.5" customHeight="1" thickBot="1">
      <c r="B24" s="45"/>
      <c r="C24" s="46">
        <v>11030</v>
      </c>
      <c r="D24" s="44" t="s">
        <v>78</v>
      </c>
      <c r="E24" s="44"/>
      <c r="F24" s="39"/>
      <c r="G24" s="72"/>
      <c r="H24" s="64">
        <f>C24*H21</f>
        <v>66180</v>
      </c>
      <c r="I24" s="11"/>
    </row>
    <row r="25" spans="1:9" ht="33.75" customHeight="1"/>
    <row r="26" spans="1:9" ht="33.75" customHeight="1"/>
    <row r="27" spans="1:9" ht="33.75" customHeight="1"/>
    <row r="28" spans="1:9" ht="33.75" customHeight="1"/>
    <row r="29" spans="1:9" ht="33.75" customHeight="1"/>
    <row r="30" spans="1:9" ht="33.75" customHeight="1"/>
    <row r="31" spans="1:9" ht="33.75" customHeight="1"/>
    <row r="32" spans="1:9" ht="33.75" customHeight="1"/>
    <row r="33" ht="33.75" customHeight="1"/>
    <row r="34" ht="33.7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sheetData>
  <mergeCells count="13">
    <mergeCell ref="B19:F19"/>
    <mergeCell ref="C11:D11"/>
    <mergeCell ref="B7:D7"/>
    <mergeCell ref="C12:D12"/>
    <mergeCell ref="C13:D13"/>
    <mergeCell ref="C17:D17"/>
    <mergeCell ref="C15:D15"/>
    <mergeCell ref="C18:D18"/>
    <mergeCell ref="B4:C4"/>
    <mergeCell ref="D4:H4"/>
    <mergeCell ref="G7:H7"/>
    <mergeCell ref="C9:D9"/>
    <mergeCell ref="C10:D10"/>
  </mergeCells>
  <phoneticPr fontId="1"/>
  <dataValidations count="1">
    <dataValidation type="list" allowBlank="1" showInputMessage="1" showErrorMessage="1" sqref="E10:E11 E15:E18" xr:uid="{00000000-0002-0000-0500-000000000000}">
      <formula1>"　,あり,なし"</formula1>
    </dataValidation>
  </dataValidations>
  <pageMargins left="0.92" right="0.56000000000000005" top="0.75" bottom="0.75" header="0.3" footer="0.3"/>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J101"/>
  <sheetViews>
    <sheetView zoomScale="85" zoomScaleNormal="85" workbookViewId="0">
      <selection activeCell="C30" sqref="C30"/>
    </sheetView>
  </sheetViews>
  <sheetFormatPr defaultColWidth="9" defaultRowHeight="18"/>
  <cols>
    <col min="1" max="1" width="2.8984375" style="11" customWidth="1"/>
    <col min="2" max="2" width="3" style="9" customWidth="1"/>
    <col min="3" max="3" width="17.69921875" style="9" customWidth="1"/>
    <col min="4" max="4" width="22.59765625" style="9" customWidth="1"/>
    <col min="5" max="5" width="8" style="9" customWidth="1"/>
    <col min="6" max="6" width="10.19921875" style="10" customWidth="1"/>
    <col min="7" max="7" width="22.3984375" style="10" hidden="1" customWidth="1"/>
    <col min="8" max="8" width="14.3984375" style="10" customWidth="1"/>
    <col min="9" max="9" width="9" style="10"/>
    <col min="10" max="16384" width="9" style="11"/>
  </cols>
  <sheetData>
    <row r="1" spans="1:10" s="8" customFormat="1" ht="31.5" customHeight="1">
      <c r="A1" s="5" t="s">
        <v>130</v>
      </c>
      <c r="B1" s="6"/>
      <c r="C1" s="6"/>
      <c r="D1" s="6"/>
      <c r="E1" s="6"/>
      <c r="F1" s="7"/>
      <c r="G1" s="7"/>
      <c r="H1" s="7"/>
      <c r="I1" s="7"/>
    </row>
    <row r="2" spans="1:10" ht="30.75" customHeight="1">
      <c r="A2" s="5" t="s">
        <v>153</v>
      </c>
    </row>
    <row r="3" spans="1:10" ht="21.75" customHeight="1" thickBot="1">
      <c r="A3" s="5"/>
    </row>
    <row r="4" spans="1:10" ht="19.5" customHeight="1" thickBot="1">
      <c r="A4" s="9"/>
      <c r="B4" s="398" t="s">
        <v>1</v>
      </c>
      <c r="C4" s="398"/>
      <c r="D4" s="378" t="s">
        <v>52</v>
      </c>
      <c r="E4" s="379"/>
      <c r="F4" s="379"/>
      <c r="G4" s="379"/>
      <c r="H4" s="380"/>
    </row>
    <row r="5" spans="1:10" ht="19.5" customHeight="1">
      <c r="A5" s="9"/>
      <c r="C5" s="12"/>
      <c r="D5" s="12"/>
      <c r="E5" s="12"/>
      <c r="F5" s="12"/>
      <c r="G5" s="12"/>
      <c r="H5" s="12"/>
    </row>
    <row r="6" spans="1:10" ht="19.5" customHeight="1" thickBot="1">
      <c r="A6" s="13" t="s">
        <v>3</v>
      </c>
      <c r="E6" s="12"/>
      <c r="F6" s="12"/>
      <c r="G6" s="12"/>
      <c r="H6" s="12"/>
    </row>
    <row r="7" spans="1:10" ht="35.25" customHeight="1" thickBot="1">
      <c r="A7" s="13"/>
      <c r="B7" s="376"/>
      <c r="C7" s="377"/>
      <c r="D7" s="377"/>
      <c r="E7" s="377"/>
      <c r="F7" s="14" t="s">
        <v>13</v>
      </c>
      <c r="G7" s="12"/>
      <c r="H7" s="12"/>
      <c r="I7" s="12"/>
      <c r="J7" s="10"/>
    </row>
    <row r="8" spans="1:10" ht="19.5" customHeight="1" thickBot="1">
      <c r="A8" s="13"/>
      <c r="B8" s="375" t="s">
        <v>5</v>
      </c>
      <c r="C8" s="368"/>
      <c r="D8" s="368"/>
      <c r="E8" s="368"/>
      <c r="F8" s="1">
        <v>31</v>
      </c>
      <c r="G8" s="12"/>
      <c r="H8" s="12"/>
      <c r="I8" s="12"/>
      <c r="J8" s="10"/>
    </row>
    <row r="9" spans="1:10" ht="19.5" customHeight="1">
      <c r="A9" s="13"/>
      <c r="B9" s="15"/>
      <c r="C9" s="15"/>
      <c r="D9" s="15"/>
      <c r="E9" s="15"/>
      <c r="F9" s="16"/>
      <c r="G9" s="12"/>
      <c r="H9" s="12"/>
      <c r="I9" s="12"/>
      <c r="J9" s="10"/>
    </row>
    <row r="10" spans="1:10" ht="19.5" customHeight="1" thickBot="1">
      <c r="A10" s="13" t="s">
        <v>11</v>
      </c>
    </row>
    <row r="11" spans="1:10" ht="33.75" customHeight="1">
      <c r="B11" s="17"/>
      <c r="C11" s="368"/>
      <c r="D11" s="369"/>
      <c r="E11" s="18" t="s">
        <v>12</v>
      </c>
      <c r="F11" s="19" t="s">
        <v>13</v>
      </c>
      <c r="G11" s="455" t="s">
        <v>14</v>
      </c>
      <c r="H11" s="456"/>
    </row>
    <row r="12" spans="1:10" ht="24" customHeight="1" thickBot="1">
      <c r="B12" s="214" t="s">
        <v>15</v>
      </c>
      <c r="C12" s="374" t="s">
        <v>16</v>
      </c>
      <c r="D12" s="454"/>
      <c r="E12" s="21"/>
      <c r="F12" s="22"/>
      <c r="G12" s="48"/>
      <c r="H12" s="286">
        <f>H18*1.3</f>
        <v>7.8000000000000007</v>
      </c>
    </row>
    <row r="13" spans="1:10" ht="33.75" customHeight="1" thickBot="1">
      <c r="B13" s="226"/>
      <c r="C13" s="437" t="s">
        <v>140</v>
      </c>
      <c r="D13" s="438"/>
      <c r="E13" s="101"/>
      <c r="F13" s="1">
        <v>1</v>
      </c>
      <c r="G13" s="73">
        <f>F13*1/30</f>
        <v>3.3333333333333333E-2</v>
      </c>
      <c r="H13" s="287">
        <f>ROUNDDOWN(G13,1)</f>
        <v>0</v>
      </c>
    </row>
    <row r="14" spans="1:10" ht="33.75" customHeight="1" thickBot="1">
      <c r="B14" s="226"/>
      <c r="C14" s="439" t="s">
        <v>141</v>
      </c>
      <c r="D14" s="440"/>
      <c r="E14" s="24"/>
      <c r="F14" s="1">
        <v>2</v>
      </c>
      <c r="G14" s="49">
        <f>F14*1/20</f>
        <v>0.1</v>
      </c>
      <c r="H14" s="281">
        <f>ROUNDDOWN(G14,1)</f>
        <v>0.1</v>
      </c>
    </row>
    <row r="15" spans="1:10" ht="33" customHeight="1" thickBot="1">
      <c r="B15" s="263"/>
      <c r="C15" s="439" t="s">
        <v>154</v>
      </c>
      <c r="D15" s="440"/>
      <c r="E15" s="24"/>
      <c r="F15" s="1">
        <v>10</v>
      </c>
      <c r="G15" s="49">
        <f>F15*1/6</f>
        <v>1.6666666666666667</v>
      </c>
      <c r="H15" s="281">
        <f>ROUNDDOWN(G15,1)</f>
        <v>1.6</v>
      </c>
      <c r="J15" s="25"/>
    </row>
    <row r="16" spans="1:10" ht="30.75" customHeight="1" thickBot="1">
      <c r="B16" s="263"/>
      <c r="C16" s="439" t="s">
        <v>143</v>
      </c>
      <c r="D16" s="371"/>
      <c r="E16" s="24"/>
      <c r="F16" s="1">
        <v>4</v>
      </c>
      <c r="G16" s="49">
        <f>F16*1/3</f>
        <v>1.3333333333333333</v>
      </c>
      <c r="H16" s="281">
        <f>ROUNDDOWN(G16,1)</f>
        <v>1.3</v>
      </c>
      <c r="J16" s="25"/>
    </row>
    <row r="17" spans="1:10" ht="30.75" customHeight="1" thickBot="1">
      <c r="B17" s="263"/>
      <c r="C17" s="443" t="s">
        <v>144</v>
      </c>
      <c r="D17" s="444"/>
      <c r="E17" s="3" t="s">
        <v>18</v>
      </c>
      <c r="F17" s="2">
        <v>5</v>
      </c>
      <c r="G17" s="50">
        <f>IF(E17="あり",F17/2,0)</f>
        <v>2.5</v>
      </c>
      <c r="H17" s="282">
        <f>ROUNDDOWN(G17,1)</f>
        <v>2.5</v>
      </c>
      <c r="J17" s="25"/>
    </row>
    <row r="18" spans="1:10" ht="24" customHeight="1" thickTop="1">
      <c r="B18" s="226"/>
      <c r="C18" s="388" t="s">
        <v>65</v>
      </c>
      <c r="D18" s="389"/>
      <c r="E18" s="27"/>
      <c r="F18" s="28"/>
      <c r="G18" s="51"/>
      <c r="H18" s="283">
        <f>ROUND(SUM(H13:H17),0)</f>
        <v>6</v>
      </c>
      <c r="J18" s="25"/>
    </row>
    <row r="19" spans="1:10" ht="24" customHeight="1" thickBot="1">
      <c r="B19" s="31" t="s">
        <v>21</v>
      </c>
      <c r="C19" s="368" t="s">
        <v>66</v>
      </c>
      <c r="D19" s="369"/>
      <c r="E19" s="4" t="s">
        <v>18</v>
      </c>
      <c r="F19" s="30"/>
      <c r="G19" s="52"/>
      <c r="H19" s="53">
        <f>IF(E19="あり",1.7,0)</f>
        <v>1.7</v>
      </c>
    </row>
    <row r="20" spans="1:10" ht="29.25" customHeight="1" thickBot="1">
      <c r="B20" s="31" t="s">
        <v>23</v>
      </c>
      <c r="C20" s="368" t="s">
        <v>69</v>
      </c>
      <c r="D20" s="369"/>
      <c r="E20" s="4" t="s">
        <v>18</v>
      </c>
      <c r="F20" s="244" t="s">
        <v>70</v>
      </c>
      <c r="G20" s="227">
        <f>VLOOKUP(F20,$C$33:$D$46,2,FALSE)</f>
        <v>0.5</v>
      </c>
      <c r="H20" s="53">
        <f>IF(E20="あり",G20,0)</f>
        <v>0.5</v>
      </c>
    </row>
    <row r="21" spans="1:10" ht="29.25" customHeight="1">
      <c r="B21" s="31" t="s">
        <v>110</v>
      </c>
      <c r="C21" s="107" t="s">
        <v>115</v>
      </c>
      <c r="D21" s="210"/>
      <c r="E21" s="4" t="s">
        <v>18</v>
      </c>
      <c r="F21" s="291"/>
      <c r="G21" s="227"/>
      <c r="H21" s="53">
        <f>IF(E21="あり",2.7,0)</f>
        <v>2.7</v>
      </c>
    </row>
    <row r="22" spans="1:10" ht="24" customHeight="1">
      <c r="B22" s="31" t="s">
        <v>111</v>
      </c>
      <c r="C22" s="107" t="s">
        <v>42</v>
      </c>
      <c r="D22" s="210"/>
      <c r="E22" s="4" t="s">
        <v>18</v>
      </c>
      <c r="F22" s="30"/>
      <c r="G22" s="52"/>
      <c r="H22" s="53">
        <f>IF(E22="あり",0.6,0)</f>
        <v>0.6</v>
      </c>
    </row>
    <row r="23" spans="1:10" ht="27.75" customHeight="1">
      <c r="B23" s="31" t="s">
        <v>113</v>
      </c>
      <c r="C23" s="434" t="s">
        <v>137</v>
      </c>
      <c r="D23" s="435"/>
      <c r="E23" s="4" t="s">
        <v>18</v>
      </c>
      <c r="F23" s="30"/>
      <c r="G23" s="52"/>
      <c r="H23" s="54">
        <f>IF(E23="あり",IF(F8&lt;=40,-1.3,-2.6),0)</f>
        <v>-1.3</v>
      </c>
    </row>
    <row r="24" spans="1:10" ht="27.75" customHeight="1">
      <c r="B24" s="214" t="s">
        <v>32</v>
      </c>
      <c r="C24" s="434" t="s">
        <v>146</v>
      </c>
      <c r="D24" s="435"/>
      <c r="E24" s="218" t="s">
        <v>18</v>
      </c>
      <c r="F24" s="108"/>
      <c r="G24" s="225"/>
      <c r="H24" s="246">
        <f>IF(E24="あり",-1,0)</f>
        <v>-1</v>
      </c>
    </row>
    <row r="25" spans="1:10" ht="27.75" customHeight="1" thickBot="1">
      <c r="B25" s="32" t="s">
        <v>155</v>
      </c>
      <c r="C25" s="33"/>
      <c r="D25" s="33"/>
      <c r="E25" s="34"/>
      <c r="F25" s="35"/>
      <c r="G25" s="55"/>
      <c r="H25" s="56">
        <f>IF(F8&lt;=30,4.5,IF(F8&lt;=40,4.2,5.4))</f>
        <v>4.2</v>
      </c>
    </row>
    <row r="26" spans="1:10" ht="24" customHeight="1" thickTop="1" thickBot="1">
      <c r="B26" s="36" t="s">
        <v>47</v>
      </c>
      <c r="F26" s="37"/>
      <c r="G26" s="57"/>
      <c r="H26" s="58">
        <f>SUM(H19:H25,H12)</f>
        <v>15.200000000000001</v>
      </c>
    </row>
    <row r="27" spans="1:10" ht="24" customHeight="1" thickBot="1">
      <c r="B27" s="38" t="s">
        <v>48</v>
      </c>
      <c r="C27" s="39"/>
      <c r="D27" s="39"/>
      <c r="E27" s="39"/>
      <c r="F27" s="40"/>
      <c r="G27" s="59"/>
      <c r="H27" s="140">
        <f>ROUND(H26,0)</f>
        <v>15</v>
      </c>
    </row>
    <row r="28" spans="1:10" ht="25.5" customHeight="1">
      <c r="F28" s="9"/>
      <c r="G28" s="61"/>
      <c r="H28" s="62"/>
      <c r="I28" s="11"/>
    </row>
    <row r="29" spans="1:10" ht="25.5" customHeight="1" thickBot="1">
      <c r="A29" s="13" t="s">
        <v>49</v>
      </c>
      <c r="F29" s="9"/>
      <c r="G29" s="61"/>
      <c r="H29" s="61"/>
      <c r="I29" s="11"/>
    </row>
    <row r="30" spans="1:10" ht="25.5" customHeight="1" thickBot="1">
      <c r="B30" s="45"/>
      <c r="C30" s="46">
        <v>11030</v>
      </c>
      <c r="D30" s="44" t="s">
        <v>78</v>
      </c>
      <c r="E30" s="44"/>
      <c r="F30" s="44"/>
      <c r="G30" s="63"/>
      <c r="H30" s="64">
        <f>C30*H27</f>
        <v>165450</v>
      </c>
      <c r="I30" s="11"/>
    </row>
    <row r="31" spans="1:10" ht="33.75" customHeight="1"/>
    <row r="32" spans="1:10" hidden="1">
      <c r="C32" s="9" t="s">
        <v>79</v>
      </c>
    </row>
    <row r="33" spans="3:4" hidden="1">
      <c r="C33" s="9" t="s">
        <v>70</v>
      </c>
      <c r="D33" s="9">
        <v>0.5</v>
      </c>
    </row>
    <row r="34" spans="3:4" hidden="1">
      <c r="C34" s="9" t="s">
        <v>80</v>
      </c>
      <c r="D34" s="9">
        <v>0.5</v>
      </c>
    </row>
    <row r="35" spans="3:4" hidden="1">
      <c r="C35" s="9" t="s">
        <v>81</v>
      </c>
      <c r="D35" s="9">
        <v>0.6</v>
      </c>
    </row>
    <row r="36" spans="3:4" hidden="1">
      <c r="C36" s="9" t="s">
        <v>82</v>
      </c>
      <c r="D36" s="9">
        <v>0.7</v>
      </c>
    </row>
    <row r="37" spans="3:4" hidden="1">
      <c r="C37" s="9" t="s">
        <v>83</v>
      </c>
      <c r="D37" s="9">
        <v>0.8</v>
      </c>
    </row>
    <row r="38" spans="3:4" hidden="1">
      <c r="C38" s="9" t="s">
        <v>84</v>
      </c>
      <c r="D38" s="9">
        <v>0.8</v>
      </c>
    </row>
    <row r="39" spans="3:4" hidden="1">
      <c r="C39" s="9" t="s">
        <v>85</v>
      </c>
      <c r="D39" s="9">
        <v>0.9</v>
      </c>
    </row>
    <row r="40" spans="3:4" hidden="1">
      <c r="C40" s="9" t="s">
        <v>86</v>
      </c>
      <c r="D40" s="9">
        <v>1</v>
      </c>
    </row>
    <row r="41" spans="3:4" hidden="1">
      <c r="C41" s="9" t="s">
        <v>87</v>
      </c>
      <c r="D41" s="9">
        <v>1.1000000000000001</v>
      </c>
    </row>
    <row r="42" spans="3:4" hidden="1">
      <c r="C42" s="9" t="s">
        <v>88</v>
      </c>
      <c r="D42" s="9">
        <v>1.1000000000000001</v>
      </c>
    </row>
    <row r="43" spans="3:4" hidden="1">
      <c r="C43" s="9" t="s">
        <v>89</v>
      </c>
      <c r="D43" s="9">
        <v>1.2</v>
      </c>
    </row>
    <row r="44" spans="3:4" hidden="1">
      <c r="C44" s="9" t="s">
        <v>90</v>
      </c>
      <c r="D44" s="9">
        <v>1.3</v>
      </c>
    </row>
    <row r="45" spans="3:4" hidden="1">
      <c r="C45" s="9" t="s">
        <v>91</v>
      </c>
      <c r="D45" s="9">
        <v>1.4</v>
      </c>
    </row>
    <row r="46" spans="3:4" hidden="1">
      <c r="C46" s="9" t="s">
        <v>92</v>
      </c>
      <c r="D46" s="9">
        <v>1.5</v>
      </c>
    </row>
    <row r="47" spans="3:4" ht="20.25" customHeight="1"/>
    <row r="48" spans="3:4"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sheetData>
  <mergeCells count="17">
    <mergeCell ref="C19:D19"/>
    <mergeCell ref="C24:D24"/>
    <mergeCell ref="C15:D15"/>
    <mergeCell ref="C20:D20"/>
    <mergeCell ref="C23:D23"/>
    <mergeCell ref="C17:D17"/>
    <mergeCell ref="C16:D16"/>
    <mergeCell ref="C18:D18"/>
    <mergeCell ref="B4:C4"/>
    <mergeCell ref="C13:D13"/>
    <mergeCell ref="C14:D14"/>
    <mergeCell ref="D4:H4"/>
    <mergeCell ref="B7:E7"/>
    <mergeCell ref="B8:E8"/>
    <mergeCell ref="G11:H11"/>
    <mergeCell ref="C11:D11"/>
    <mergeCell ref="C12:D12"/>
  </mergeCells>
  <phoneticPr fontId="1"/>
  <dataValidations count="2">
    <dataValidation type="list" allowBlank="1" showInputMessage="1" showErrorMessage="1" sqref="E17 E19:E24" xr:uid="{00000000-0002-0000-0600-000000000000}">
      <formula1>"　,あり,なし"</formula1>
    </dataValidation>
    <dataValidation type="list" allowBlank="1" showInputMessage="1" showErrorMessage="1" sqref="F20" xr:uid="{05D77EA7-4409-4132-B678-43D0C8E6DFFE}">
      <formula1>$C$33:$C$46</formula1>
    </dataValidation>
  </dataValidations>
  <pageMargins left="0.92" right="0.56000000000000005" top="0.56999999999999995" bottom="0.33" header="0.3" footer="0.3"/>
  <pageSetup paperSize="9" scale="94"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I86"/>
  <sheetViews>
    <sheetView zoomScaleNormal="100" workbookViewId="0">
      <selection activeCell="D17" sqref="D17"/>
    </sheetView>
  </sheetViews>
  <sheetFormatPr defaultColWidth="9" defaultRowHeight="18"/>
  <cols>
    <col min="1" max="1" width="2.8984375" style="11" customWidth="1"/>
    <col min="2" max="2" width="3" style="9" customWidth="1"/>
    <col min="3" max="3" width="16.3984375" style="9" customWidth="1"/>
    <col min="4" max="4" width="25.5" style="9" customWidth="1"/>
    <col min="5" max="5" width="8" style="9" customWidth="1"/>
    <col min="6" max="6" width="8" style="10" customWidth="1"/>
    <col min="7" max="7" width="14.5" style="10" hidden="1" customWidth="1"/>
    <col min="8" max="8" width="13.8984375" style="10" customWidth="1"/>
    <col min="9" max="9" width="9" style="10"/>
    <col min="10" max="16384" width="9" style="11"/>
  </cols>
  <sheetData>
    <row r="1" spans="1:9" s="8" customFormat="1" ht="31.5" customHeight="1">
      <c r="A1" s="5" t="s">
        <v>130</v>
      </c>
      <c r="B1" s="6"/>
      <c r="C1" s="6"/>
      <c r="D1" s="6"/>
      <c r="E1" s="6"/>
      <c r="F1" s="7"/>
      <c r="G1" s="7"/>
      <c r="H1" s="7"/>
      <c r="I1" s="7"/>
    </row>
    <row r="2" spans="1:9" ht="30.75" customHeight="1">
      <c r="A2" s="5" t="s">
        <v>156</v>
      </c>
    </row>
    <row r="3" spans="1:9" ht="21.75" customHeight="1" thickBot="1">
      <c r="A3" s="5"/>
    </row>
    <row r="4" spans="1:9" ht="19.5" customHeight="1" thickBot="1">
      <c r="A4" s="9"/>
      <c r="B4" s="398" t="s">
        <v>1</v>
      </c>
      <c r="C4" s="398"/>
      <c r="D4" s="378" t="s">
        <v>52</v>
      </c>
      <c r="E4" s="379"/>
      <c r="F4" s="379"/>
      <c r="G4" s="379"/>
      <c r="H4" s="380"/>
    </row>
    <row r="5" spans="1:9" ht="19.5" customHeight="1">
      <c r="A5" s="9"/>
      <c r="C5" s="12"/>
      <c r="D5" s="12"/>
      <c r="E5" s="12"/>
      <c r="F5" s="12"/>
      <c r="G5" s="12"/>
      <c r="H5" s="12"/>
    </row>
    <row r="6" spans="1:9" ht="19.5" customHeight="1" thickBot="1">
      <c r="A6" s="13" t="s">
        <v>11</v>
      </c>
    </row>
    <row r="7" spans="1:9" ht="33.75" customHeight="1">
      <c r="B7" s="375"/>
      <c r="C7" s="368"/>
      <c r="D7" s="369"/>
      <c r="E7" s="18" t="s">
        <v>12</v>
      </c>
      <c r="F7" s="19" t="s">
        <v>13</v>
      </c>
      <c r="G7" s="399" t="s">
        <v>14</v>
      </c>
      <c r="H7" s="436"/>
    </row>
    <row r="8" spans="1:9" ht="24" customHeight="1">
      <c r="B8" s="31" t="s">
        <v>132</v>
      </c>
      <c r="C8" s="368" t="s">
        <v>66</v>
      </c>
      <c r="D8" s="369"/>
      <c r="E8" s="4" t="s">
        <v>18</v>
      </c>
      <c r="F8" s="30"/>
      <c r="G8" s="52"/>
      <c r="H8" s="53">
        <f>IF(E8="あり",0.4,0)</f>
        <v>0.4</v>
      </c>
    </row>
    <row r="9" spans="1:9" ht="27.75" customHeight="1">
      <c r="B9" s="31" t="s">
        <v>21</v>
      </c>
      <c r="C9" s="434" t="s">
        <v>157</v>
      </c>
      <c r="D9" s="435"/>
      <c r="E9" s="4" t="s">
        <v>18</v>
      </c>
      <c r="F9" s="30"/>
      <c r="G9" s="52"/>
      <c r="H9" s="54">
        <f>IF(E9="あり",-0.2,0)</f>
        <v>-0.2</v>
      </c>
    </row>
    <row r="10" spans="1:9" ht="27.75" customHeight="1" thickBot="1">
      <c r="B10" s="32" t="s">
        <v>138</v>
      </c>
      <c r="C10" s="33"/>
      <c r="D10" s="33"/>
      <c r="E10" s="34"/>
      <c r="F10" s="35"/>
      <c r="G10" s="55"/>
      <c r="H10" s="81">
        <v>1.3</v>
      </c>
    </row>
    <row r="11" spans="1:9" ht="24" customHeight="1" thickTop="1" thickBot="1">
      <c r="B11" s="36" t="s">
        <v>47</v>
      </c>
      <c r="F11" s="37"/>
      <c r="G11" s="57"/>
      <c r="H11" s="58">
        <f>SUM(H8:H10)</f>
        <v>1.5</v>
      </c>
    </row>
    <row r="12" spans="1:9" ht="24" customHeight="1" thickBot="1">
      <c r="B12" s="87" t="s">
        <v>48</v>
      </c>
      <c r="C12" s="88"/>
      <c r="D12" s="88"/>
      <c r="E12" s="88"/>
      <c r="F12" s="89"/>
      <c r="G12" s="59"/>
      <c r="H12" s="140">
        <f>ROUND(H11,0)</f>
        <v>2</v>
      </c>
    </row>
    <row r="13" spans="1:9" ht="25.5" customHeight="1">
      <c r="F13" s="9"/>
      <c r="H13" s="43"/>
      <c r="I13" s="11"/>
    </row>
    <row r="14" spans="1:9" ht="25.5" customHeight="1" thickBot="1">
      <c r="A14" s="13" t="s">
        <v>49</v>
      </c>
      <c r="F14" s="9"/>
      <c r="I14" s="11"/>
    </row>
    <row r="15" spans="1:9" ht="25.5" customHeight="1" thickBot="1">
      <c r="B15" s="45"/>
      <c r="C15" s="46">
        <v>11030</v>
      </c>
      <c r="D15" s="44" t="s">
        <v>78</v>
      </c>
      <c r="E15" s="44"/>
      <c r="F15" s="44"/>
      <c r="G15" s="47"/>
      <c r="H15" s="64">
        <f>C15*H12</f>
        <v>22060</v>
      </c>
      <c r="I15" s="11"/>
    </row>
    <row r="16" spans="1:9" ht="33.75" customHeight="1"/>
    <row r="17" ht="33.75" customHeight="1"/>
    <row r="18" ht="33.75" customHeight="1"/>
    <row r="19" ht="33.75" customHeight="1"/>
    <row r="20" ht="33.75" customHeight="1"/>
    <row r="21" ht="33.75" customHeight="1"/>
    <row r="22" ht="33.75" customHeight="1"/>
    <row r="23" ht="33.75" customHeight="1"/>
    <row r="24" ht="33.75" customHeight="1"/>
    <row r="25" ht="33.7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mergeCells count="6">
    <mergeCell ref="C9:D9"/>
    <mergeCell ref="B4:C4"/>
    <mergeCell ref="D4:H4"/>
    <mergeCell ref="B7:D7"/>
    <mergeCell ref="G7:H7"/>
    <mergeCell ref="C8:D8"/>
  </mergeCells>
  <phoneticPr fontId="1"/>
  <dataValidations count="1">
    <dataValidation type="list" allowBlank="1" showInputMessage="1" showErrorMessage="1" sqref="E8:E9" xr:uid="{00000000-0002-0000-0800-000000000000}">
      <formula1>"　,あり,なし"</formula1>
    </dataValidation>
  </dataValidations>
  <pageMargins left="0.92" right="0.56000000000000005" top="0.75" bottom="0.75" header="0.3" footer="0.3"/>
  <pageSetup paperSize="9" scale="9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幼稚園</vt:lpstr>
      <vt:lpstr>保育所</vt:lpstr>
      <vt:lpstr>認定こども園 </vt:lpstr>
      <vt:lpstr>家庭的保育事業</vt:lpstr>
      <vt:lpstr>小規模（事業所内）Ａ・Ｂ</vt:lpstr>
      <vt:lpstr>小規模Ｃ</vt:lpstr>
      <vt:lpstr>事業所内（定員20以上）</vt:lpstr>
      <vt:lpstr>居宅訪問型保育事業</vt:lpstr>
      <vt:lpstr>家庭的保育事業!Print_Area</vt:lpstr>
      <vt:lpstr>居宅訪問型保育事業!Print_Area</vt:lpstr>
      <vt:lpstr>'事業所内（定員20以上）'!Print_Area</vt:lpstr>
      <vt:lpstr>'小規模（事業所内）Ａ・Ｂ'!Print_Area</vt:lpstr>
      <vt:lpstr>小規模Ｃ!Print_Area</vt:lpstr>
      <vt:lpstr>'認定こども園 '!Print_Area</vt:lpstr>
      <vt:lpstr>保育所!Print_Area</vt:lpstr>
      <vt:lpstr>幼稚園!Print_Area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処遇改善等加算Ⅲ　加算対象職員数計算表</dc:title>
  <dc:subject/>
  <dc:creator/>
  <cp:keywords/>
  <dc:description/>
  <cp:lastModifiedBy/>
  <cp:revision>1</cp:revision>
  <dcterms:created xsi:type="dcterms:W3CDTF">2024-04-15T00:12:44Z</dcterms:created>
  <dcterms:modified xsi:type="dcterms:W3CDTF">2024-04-15T00:12:56Z</dcterms:modified>
  <cp:category/>
  <cp:contentStatus/>
</cp:coreProperties>
</file>